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https://archersduphenix.sharepoint.com/sites/CA/Documents partages/0-Administration/00-Adhésion/2025-2026/Docs inscription/"/>
    </mc:Choice>
  </mc:AlternateContent>
  <xr:revisionPtr revIDLastSave="200" documentId="13_ncr:1_{8418BF36-5CD9-4DFA-AA25-1A4A920E44C6}" xr6:coauthVersionLast="47" xr6:coauthVersionMax="47" xr10:uidLastSave="{BCBFD212-2833-42A6-BB84-BB1F080B6C4E}"/>
  <bookViews>
    <workbookView xWindow="-120" yWindow="-120" windowWidth="29040" windowHeight="15720" tabRatio="770" xr2:uid="{00000000-000D-0000-FFFF-FFFF00000000}"/>
  </bookViews>
  <sheets>
    <sheet name="Modalités d'inscription" sheetId="11" r:id="rId1"/>
    <sheet name="Récapitulatif" sheetId="2" r:id="rId2"/>
    <sheet name="Membre 1" sheetId="1" r:id="rId3"/>
    <sheet name="Membre 2" sheetId="6" r:id="rId4"/>
    <sheet name="Membre 3" sheetId="7" r:id="rId5"/>
    <sheet name="Membre 4" sheetId="8" r:id="rId6"/>
    <sheet name="Membre 5" sheetId="9" r:id="rId7"/>
    <sheet name="Guide" sheetId="10" r:id="rId8"/>
    <sheet name="Param" sheetId="3" r:id="rId9"/>
  </sheets>
  <definedNames>
    <definedName name="Abonnement">Param!$B$59:$G$61</definedName>
    <definedName name="ANCV_Borne">Param!$C$77</definedName>
    <definedName name="ANCV_forfait">Param!$C$80</definedName>
    <definedName name="ANCV_Poucentage">Param!$C$79</definedName>
    <definedName name="Arrondi_Cotisation">Param!$C$25</definedName>
    <definedName name="Assurance_Individuelle">Param!$C$45</definedName>
    <definedName name="cat_dt">Param!$B$32:$B$61</definedName>
    <definedName name="categorie">Param!$B$32:$C$61</definedName>
    <definedName name="Catégorie">Param!$C$7:$E$14</definedName>
    <definedName name="Catégorie_FFTL">Param!$C$51:$H$54</definedName>
    <definedName name="Categories_arc">Param!$B$103:$B$111</definedName>
    <definedName name="Cotisation_adlute">Param!$C$20</definedName>
    <definedName name="Cotisation_Double_Compagnie">Param!$C$21</definedName>
    <definedName name="Cotisation_jeune">Param!$C$24</definedName>
    <definedName name="Date_forum">Param!$C$3</definedName>
    <definedName name="Découverte">Param!$B$37</definedName>
    <definedName name="Double_compagnie">Param!$B$38</definedName>
    <definedName name="Double_compagnie_Tarif">Param!$G$39</definedName>
    <definedName name="Droit_entree">Param!$C$19</definedName>
    <definedName name="Droit_entrée">Param!$C$19</definedName>
    <definedName name="Entraîneur">Param!$B$72:$C$75</definedName>
    <definedName name="Entraîneur_label">Param!$B$71:$B$75</definedName>
    <definedName name="Evènements_internationaux">Param!$C$46</definedName>
    <definedName name="Jour_entrainement">Param!$B$85:$B$87</definedName>
    <definedName name="Licence">Param!$B$30:$B$42</definedName>
    <definedName name="Nationalité">#REF!</definedName>
    <definedName name="Niveau_Distinction">Param!$B$91:$B$100</definedName>
    <definedName name="Pays">#REF!</definedName>
    <definedName name="Quotepart_Sportive">Param!$C$23</definedName>
    <definedName name="Quotepart_Statutaire">Param!$C$22</definedName>
    <definedName name="Tarif_double_compagnie">Param!$H$38</definedName>
    <definedName name="Tarifs">Param!$D$7:$I$15</definedName>
    <definedName name="Tarifs_Licence">Param!$B$31:$J$42</definedName>
    <definedName name="_xlnm.Print_Area" localSheetId="7">Guide!$B$2:$C$41</definedName>
    <definedName name="_xlnm.Print_Area" localSheetId="2">'Membre 1'!$B$2:$F$55</definedName>
    <definedName name="_xlnm.Print_Area" localSheetId="3">'Membre 2'!$B$2:$F$55</definedName>
    <definedName name="_xlnm.Print_Area" localSheetId="4">'Membre 3'!$B$2:$F$55</definedName>
    <definedName name="_xlnm.Print_Area" localSheetId="5">'Membre 4'!$B$2:$F$55</definedName>
    <definedName name="_xlnm.Print_Area" localSheetId="6">'Membre 5'!$B$2:$F$56</definedName>
    <definedName name="_xlnm.Print_Area" localSheetId="0">'Modalités d''inscription'!$B$1:$J$53</definedName>
    <definedName name="_xlnm.Print_Area" localSheetId="1">Récapitulatif!$B$1:$I$52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2" l="1"/>
  <c r="H15" i="2" s="1"/>
  <c r="B16" i="2"/>
  <c r="H16" i="2" s="1"/>
  <c r="J36" i="11"/>
  <c r="I36" i="11"/>
  <c r="H36" i="11"/>
  <c r="G36" i="11"/>
  <c r="F36" i="11"/>
  <c r="J34" i="11"/>
  <c r="I34" i="11"/>
  <c r="H34" i="11"/>
  <c r="G34" i="11"/>
  <c r="F34" i="11"/>
  <c r="E34" i="11"/>
  <c r="E36" i="11" s="1"/>
  <c r="D34" i="11"/>
  <c r="D36" i="11" s="1"/>
  <c r="C34" i="11"/>
  <c r="C36" i="11" s="1"/>
  <c r="J32" i="3"/>
  <c r="J33" i="3"/>
  <c r="J34" i="3"/>
  <c r="J35" i="3"/>
  <c r="J36" i="3"/>
  <c r="J37" i="3"/>
  <c r="J38" i="3"/>
  <c r="J39" i="3"/>
  <c r="J40" i="3"/>
  <c r="J41" i="3"/>
  <c r="J42" i="3"/>
  <c r="J31" i="3"/>
  <c r="C72" i="3"/>
  <c r="H42" i="3"/>
  <c r="G42" i="3"/>
  <c r="H41" i="3"/>
  <c r="G41" i="3"/>
  <c r="H40" i="3"/>
  <c r="G40" i="3"/>
  <c r="H39" i="3"/>
  <c r="G39" i="3"/>
  <c r="G36" i="3"/>
  <c r="I36" i="3" s="1"/>
  <c r="K36" i="3" s="1"/>
  <c r="G35" i="3"/>
  <c r="H34" i="3"/>
  <c r="G34" i="3"/>
  <c r="I34" i="3" s="1"/>
  <c r="K34" i="3" s="1"/>
  <c r="H33" i="3"/>
  <c r="G33" i="3"/>
  <c r="H32" i="3"/>
  <c r="G32" i="3"/>
  <c r="H31" i="3"/>
  <c r="H24" i="3"/>
  <c r="H23" i="3"/>
  <c r="C73" i="3" s="1"/>
  <c r="H22" i="3"/>
  <c r="G31" i="3"/>
  <c r="E36" i="9"/>
  <c r="E36" i="8"/>
  <c r="E36" i="7"/>
  <c r="E36" i="6"/>
  <c r="E36" i="1"/>
  <c r="B49" i="9"/>
  <c r="D19" i="2"/>
  <c r="F19" i="2" s="1"/>
  <c r="M19" i="2" s="1"/>
  <c r="B49" i="8"/>
  <c r="D18" i="2"/>
  <c r="F18" i="2" s="1"/>
  <c r="M18" i="2" s="1"/>
  <c r="G19" i="2"/>
  <c r="G18" i="2"/>
  <c r="G17" i="2"/>
  <c r="G16" i="2"/>
  <c r="B49" i="7"/>
  <c r="D17" i="2"/>
  <c r="F17" i="2" s="1"/>
  <c r="M17" i="2" s="1"/>
  <c r="B49" i="6"/>
  <c r="B11" i="11"/>
  <c r="B40" i="11"/>
  <c r="C15" i="2"/>
  <c r="G15" i="2"/>
  <c r="K15" i="2"/>
  <c r="K38" i="2" s="1"/>
  <c r="C16" i="2"/>
  <c r="K16" i="2"/>
  <c r="B17" i="2"/>
  <c r="C17" i="2"/>
  <c r="K17" i="2"/>
  <c r="B18" i="2"/>
  <c r="H18" i="2"/>
  <c r="C18" i="2"/>
  <c r="K18" i="2"/>
  <c r="B19" i="2"/>
  <c r="H19" i="2"/>
  <c r="C19" i="2"/>
  <c r="K19" i="2"/>
  <c r="I22" i="2"/>
  <c r="G33" i="2"/>
  <c r="I33" i="2"/>
  <c r="I36" i="2" s="1"/>
  <c r="B49" i="1"/>
  <c r="B11" i="10"/>
  <c r="B12" i="10"/>
  <c r="C12" i="10"/>
  <c r="B13" i="10"/>
  <c r="B14" i="10"/>
  <c r="B15" i="10"/>
  <c r="B16" i="10"/>
  <c r="D3" i="3"/>
  <c r="C22" i="10" s="1"/>
  <c r="C15" i="3"/>
  <c r="B50" i="2" s="1"/>
  <c r="D31" i="3"/>
  <c r="L31" i="3" s="1"/>
  <c r="D32" i="3"/>
  <c r="I32" i="3" s="1"/>
  <c r="L32" i="3"/>
  <c r="D33" i="3"/>
  <c r="D34" i="3"/>
  <c r="L34" i="3" s="1"/>
  <c r="D35" i="3"/>
  <c r="L35" i="3"/>
  <c r="L36" i="3"/>
  <c r="D37" i="3"/>
  <c r="I37" i="3" s="1"/>
  <c r="K37" i="3" s="1"/>
  <c r="H38" i="3"/>
  <c r="I38" i="3"/>
  <c r="D39" i="3"/>
  <c r="L39" i="3"/>
  <c r="D40" i="3"/>
  <c r="L40" i="3" s="1"/>
  <c r="D41" i="3"/>
  <c r="L41" i="3" s="1"/>
  <c r="D42" i="3"/>
  <c r="L42" i="3" s="1"/>
  <c r="B43" i="3"/>
  <c r="C74" i="3"/>
  <c r="C75" i="3"/>
  <c r="H17" i="2"/>
  <c r="I17" i="2"/>
  <c r="J17" i="2" s="1"/>
  <c r="I18" i="2"/>
  <c r="J18" i="2" s="1"/>
  <c r="I19" i="2"/>
  <c r="J19" i="2" s="1"/>
  <c r="B41" i="11"/>
  <c r="L33" i="3"/>
  <c r="I38" i="2" l="1"/>
  <c r="I41" i="3"/>
  <c r="K41" i="3" s="1"/>
  <c r="H11" i="3"/>
  <c r="I11" i="3" s="1"/>
  <c r="K32" i="3"/>
  <c r="I31" i="3"/>
  <c r="K31" i="3" s="1"/>
  <c r="I35" i="3"/>
  <c r="K35" i="3" s="1"/>
  <c r="I33" i="3"/>
  <c r="H8" i="3" s="1"/>
  <c r="I8" i="3" s="1"/>
  <c r="H10" i="3"/>
  <c r="I10" i="3" s="1"/>
  <c r="I39" i="3"/>
  <c r="K39" i="3" s="1"/>
  <c r="I40" i="3"/>
  <c r="K40" i="3" s="1"/>
  <c r="L37" i="3"/>
  <c r="H9" i="3"/>
  <c r="I9" i="3" s="1"/>
  <c r="H7" i="3"/>
  <c r="I7" i="3" s="1"/>
  <c r="I42" i="3"/>
  <c r="K42" i="3" s="1"/>
  <c r="H12" i="3"/>
  <c r="I12" i="3" s="1"/>
  <c r="H13" i="3"/>
  <c r="I13" i="3" s="1"/>
  <c r="C2" i="3"/>
  <c r="C55" i="3"/>
  <c r="B13" i="11"/>
  <c r="F14" i="3"/>
  <c r="C14" i="3"/>
  <c r="K33" i="3" l="1"/>
  <c r="H14" i="3"/>
  <c r="I14" i="3" s="1"/>
  <c r="N30" i="3" a="1"/>
  <c r="N39" i="3" s="1"/>
  <c r="G14" i="3"/>
  <c r="F13" i="3"/>
  <c r="C13" i="3"/>
  <c r="F54" i="3"/>
  <c r="C54" i="3"/>
  <c r="C5" i="8"/>
  <c r="C5" i="6"/>
  <c r="C5" i="9"/>
  <c r="C5" i="7"/>
  <c r="B5" i="2"/>
  <c r="B9" i="11"/>
  <c r="C5" i="1"/>
  <c r="U38" i="3" l="1"/>
  <c r="R33" i="3"/>
  <c r="W36" i="3"/>
  <c r="T38" i="3"/>
  <c r="W30" i="3"/>
  <c r="N35" i="3"/>
  <c r="N31" i="3"/>
  <c r="Y36" i="3"/>
  <c r="T35" i="3"/>
  <c r="Q33" i="3"/>
  <c r="R31" i="3"/>
  <c r="U34" i="3"/>
  <c r="O36" i="3"/>
  <c r="U36" i="3"/>
  <c r="X34" i="3"/>
  <c r="T30" i="3"/>
  <c r="X31" i="3"/>
  <c r="Z33" i="3"/>
  <c r="T31" i="3"/>
  <c r="Q38" i="3"/>
  <c r="R39" i="3"/>
  <c r="R38" i="3"/>
  <c r="Q39" i="3"/>
  <c r="P37" i="3"/>
  <c r="Q31" i="3"/>
  <c r="N30" i="3"/>
  <c r="U37" i="3"/>
  <c r="W40" i="3"/>
  <c r="T40" i="3"/>
  <c r="S34" i="3"/>
  <c r="Y31" i="3"/>
  <c r="Y33" i="3"/>
  <c r="P31" i="3"/>
  <c r="N34" i="3"/>
  <c r="R30" i="3"/>
  <c r="X32" i="3"/>
  <c r="T32" i="3"/>
  <c r="V38" i="3"/>
  <c r="P36" i="3"/>
  <c r="W39" i="3"/>
  <c r="Y39" i="3"/>
  <c r="V39" i="3"/>
  <c r="O37" i="3"/>
  <c r="T37" i="3"/>
  <c r="N38" i="3"/>
  <c r="X40" i="3"/>
  <c r="X30" i="3"/>
  <c r="S36" i="3"/>
  <c r="U30" i="3"/>
  <c r="Q37" i="3"/>
  <c r="T36" i="3"/>
  <c r="S38" i="3"/>
  <c r="S37" i="3"/>
  <c r="V33" i="3"/>
  <c r="O30" i="3"/>
  <c r="R40" i="3"/>
  <c r="W37" i="3"/>
  <c r="V31" i="3"/>
  <c r="P32" i="3"/>
  <c r="W33" i="3"/>
  <c r="Y32" i="3"/>
  <c r="P30" i="3"/>
  <c r="S39" i="3"/>
  <c r="Z34" i="3"/>
  <c r="W34" i="3"/>
  <c r="U39" i="3"/>
  <c r="V30" i="3"/>
  <c r="R37" i="3"/>
  <c r="O33" i="3"/>
  <c r="N37" i="3"/>
  <c r="O39" i="3"/>
  <c r="Z36" i="3"/>
  <c r="V35" i="3"/>
  <c r="Q40" i="3"/>
  <c r="T34" i="3"/>
  <c r="T33" i="3"/>
  <c r="Z30" i="3"/>
  <c r="Z38" i="3"/>
  <c r="U40" i="3"/>
  <c r="Y30" i="3"/>
  <c r="Z32" i="3"/>
  <c r="N36" i="3"/>
  <c r="U32" i="3"/>
  <c r="W32" i="3"/>
  <c r="N40" i="3"/>
  <c r="R32" i="3"/>
  <c r="V36" i="3"/>
  <c r="Q30" i="3"/>
  <c r="S33" i="3"/>
  <c r="Q34" i="3"/>
  <c r="P35" i="3"/>
  <c r="P33" i="3"/>
  <c r="Z39" i="3"/>
  <c r="X38" i="3"/>
  <c r="Y38" i="3"/>
  <c r="P34" i="3"/>
  <c r="W31" i="3"/>
  <c r="R34" i="3"/>
  <c r="R36" i="3"/>
  <c r="O31" i="3"/>
  <c r="P39" i="3"/>
  <c r="W35" i="3"/>
  <c r="X39" i="3"/>
  <c r="O35" i="3"/>
  <c r="P40" i="3"/>
  <c r="Z40" i="3"/>
  <c r="U33" i="3"/>
  <c r="R35" i="3"/>
  <c r="O38" i="3"/>
  <c r="X35" i="3"/>
  <c r="Z37" i="3"/>
  <c r="V37" i="3"/>
  <c r="Y37" i="3"/>
  <c r="S40" i="3"/>
  <c r="Q36" i="3"/>
  <c r="Y40" i="3"/>
  <c r="N33" i="3"/>
  <c r="U31" i="3"/>
  <c r="N32" i="3"/>
  <c r="V40" i="3"/>
  <c r="S32" i="3"/>
  <c r="O34" i="3"/>
  <c r="O32" i="3"/>
  <c r="Y35" i="3"/>
  <c r="S30" i="3"/>
  <c r="P38" i="3"/>
  <c r="X37" i="3"/>
  <c r="U35" i="3"/>
  <c r="V32" i="3"/>
  <c r="X36" i="3"/>
  <c r="S31" i="3"/>
  <c r="Y34" i="3"/>
  <c r="W38" i="3"/>
  <c r="Q35" i="3"/>
  <c r="X33" i="3"/>
  <c r="T39" i="3"/>
  <c r="Q32" i="3"/>
  <c r="S35" i="3"/>
  <c r="Z35" i="3"/>
  <c r="Z31" i="3"/>
  <c r="O40" i="3"/>
  <c r="V34" i="3"/>
  <c r="C53" i="3"/>
  <c r="F53" i="3"/>
  <c r="G54" i="3"/>
  <c r="C12" i="3"/>
  <c r="F12" i="3"/>
  <c r="G13" i="3"/>
  <c r="C11" i="3" l="1"/>
  <c r="F11" i="3"/>
  <c r="G12" i="3"/>
  <c r="G53" i="3"/>
  <c r="C52" i="3"/>
  <c r="F52" i="3"/>
  <c r="F51" i="3" l="1"/>
  <c r="C51" i="3"/>
  <c r="G51" i="3" s="1"/>
  <c r="G52" i="3"/>
  <c r="F10" i="3"/>
  <c r="G11" i="3"/>
  <c r="C10" i="3"/>
  <c r="F9" i="3" l="1"/>
  <c r="C9" i="3"/>
  <c r="G10" i="3"/>
  <c r="B50" i="6" l="1"/>
  <c r="B50" i="8"/>
  <c r="G9" i="3"/>
  <c r="B50" i="1"/>
  <c r="B50" i="9"/>
  <c r="B50" i="7"/>
  <c r="C8" i="3"/>
  <c r="F8" i="3"/>
  <c r="G8" i="3" l="1"/>
  <c r="C7" i="3"/>
  <c r="G7" i="3" s="1"/>
  <c r="F7" i="3"/>
  <c r="C23" i="7"/>
  <c r="C23" i="9"/>
  <c r="C23" i="8"/>
  <c r="C23" i="6"/>
  <c r="D16" i="2" s="1"/>
  <c r="F16" i="2" s="1"/>
  <c r="C23" i="1"/>
  <c r="D15" i="2" s="1"/>
  <c r="F15" i="2" s="1"/>
  <c r="I15" i="2" s="1"/>
  <c r="M16" i="2" l="1"/>
  <c r="I16" i="2"/>
  <c r="J16" i="2" s="1"/>
  <c r="M15" i="2"/>
  <c r="J15" i="2"/>
  <c r="M23" i="2" l="1"/>
  <c r="I50" i="2" s="1"/>
  <c r="J21" i="2"/>
  <c r="C21" i="2" s="1"/>
  <c r="C50" i="2" l="1"/>
  <c r="I21" i="2"/>
  <c r="I23" i="2" s="1"/>
  <c r="K28" i="2" l="1"/>
  <c r="K50" i="2" s="1"/>
  <c r="L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aauduteau</author>
    <author>Daniel Rechaussat</author>
  </authors>
  <commentList>
    <comment ref="F26" authorId="0" shapeId="0" xr:uid="{00000000-0006-0000-0200-000001000000}">
      <text>
        <r>
          <rPr>
            <sz val="9"/>
            <color indexed="81"/>
            <rFont val="Tahoma"/>
            <family val="2"/>
          </rPr>
          <t>Débutant : Mardi soir ou Mercredi soir</t>
        </r>
        <r>
          <rPr>
            <sz val="9"/>
            <color indexed="81"/>
            <rFont val="Tahoma"/>
            <family val="2"/>
          </rPr>
          <t xml:space="preserve">
</t>
        </r>
      </text>
    </comment>
    <comment ref="C31" authorId="1" shapeId="0" xr:uid="{00000000-0006-0000-0200-000002000000}">
      <text>
        <r>
          <rPr>
            <b/>
            <sz val="9"/>
            <color indexed="81"/>
            <rFont val="Tahoma"/>
            <family val="2"/>
          </rPr>
          <t xml:space="preserve">Daniel Rechaussat: </t>
        </r>
        <r>
          <rPr>
            <sz val="9"/>
            <color indexed="81"/>
            <rFont val="Tahoma"/>
            <family val="2"/>
          </rPr>
          <t xml:space="preserve">
OUI  pas de certificat à fournir
NON un certificat à fournir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aauduteau</author>
    <author>Daniel Rechaussat</author>
  </authors>
  <commentList>
    <comment ref="F26" authorId="0" shapeId="0" xr:uid="{00000000-0006-0000-0300-000001000000}">
      <text>
        <r>
          <rPr>
            <sz val="9"/>
            <color indexed="81"/>
            <rFont val="Tahoma"/>
            <family val="2"/>
          </rPr>
          <t>Débutant : Mardi soir ou Mercredi soir</t>
        </r>
        <r>
          <rPr>
            <sz val="9"/>
            <color indexed="81"/>
            <rFont val="Tahoma"/>
            <family val="2"/>
          </rPr>
          <t xml:space="preserve">
</t>
        </r>
      </text>
    </comment>
    <comment ref="C31" authorId="1" shapeId="0" xr:uid="{00000000-0006-0000-0300-000002000000}">
      <text>
        <r>
          <rPr>
            <b/>
            <sz val="9"/>
            <color indexed="81"/>
            <rFont val="Tahoma"/>
            <family val="2"/>
          </rPr>
          <t xml:space="preserve">Daniel Rechaussat: </t>
        </r>
        <r>
          <rPr>
            <sz val="9"/>
            <color indexed="81"/>
            <rFont val="Tahoma"/>
            <family val="2"/>
          </rPr>
          <t xml:space="preserve">
OUI  pas de certificat à fournir
NON un certificat à fournir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aauduteau</author>
    <author>Daniel Rechaussat</author>
  </authors>
  <commentList>
    <comment ref="F26" authorId="0" shapeId="0" xr:uid="{00000000-0006-0000-0400-000001000000}">
      <text>
        <r>
          <rPr>
            <sz val="9"/>
            <color indexed="81"/>
            <rFont val="Tahoma"/>
            <family val="2"/>
          </rPr>
          <t>Débutant : Mardi soir ou Mercredi soir</t>
        </r>
        <r>
          <rPr>
            <sz val="9"/>
            <color indexed="81"/>
            <rFont val="Tahoma"/>
            <family val="2"/>
          </rPr>
          <t xml:space="preserve">
</t>
        </r>
      </text>
    </comment>
    <comment ref="C31" authorId="1" shapeId="0" xr:uid="{00000000-0006-0000-0400-000002000000}">
      <text>
        <r>
          <rPr>
            <b/>
            <sz val="9"/>
            <color indexed="81"/>
            <rFont val="Tahoma"/>
            <family val="2"/>
          </rPr>
          <t>Daniel Rechaussat:</t>
        </r>
        <r>
          <rPr>
            <sz val="9"/>
            <color indexed="81"/>
            <rFont val="Tahoma"/>
            <family val="2"/>
          </rPr>
          <t xml:space="preserve">
OUI  pas de certificat à fournir
NON un certificat à fournir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aauduteau</author>
    <author>Daniel Rechaussat</author>
  </authors>
  <commentList>
    <comment ref="F26" authorId="0" shapeId="0" xr:uid="{00000000-0006-0000-0500-000001000000}">
      <text>
        <r>
          <rPr>
            <sz val="9"/>
            <color indexed="81"/>
            <rFont val="Tahoma"/>
            <family val="2"/>
          </rPr>
          <t>Débutant : Mardi soir ou Mercredi soir</t>
        </r>
        <r>
          <rPr>
            <sz val="9"/>
            <color indexed="81"/>
            <rFont val="Tahoma"/>
            <family val="2"/>
          </rPr>
          <t xml:space="preserve">
</t>
        </r>
      </text>
    </comment>
    <comment ref="C31" authorId="1" shapeId="0" xr:uid="{00000000-0006-0000-0500-000002000000}">
      <text>
        <r>
          <rPr>
            <b/>
            <sz val="9"/>
            <color indexed="81"/>
            <rFont val="Tahoma"/>
            <family val="2"/>
          </rPr>
          <t xml:space="preserve">Daniel Rechaussat: </t>
        </r>
        <r>
          <rPr>
            <sz val="9"/>
            <color indexed="81"/>
            <rFont val="Tahoma"/>
            <family val="2"/>
          </rPr>
          <t xml:space="preserve">
OUI  pas de certificat à fournir
NON un certificat à fournir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aauduteau</author>
    <author>Daniel Rechaussat</author>
  </authors>
  <commentList>
    <comment ref="F26" authorId="0" shapeId="0" xr:uid="{00000000-0006-0000-0600-000001000000}">
      <text>
        <r>
          <rPr>
            <sz val="9"/>
            <color indexed="81"/>
            <rFont val="Tahoma"/>
            <family val="2"/>
          </rPr>
          <t>Débutant : Mardi soir ou Mercredi soir</t>
        </r>
        <r>
          <rPr>
            <sz val="9"/>
            <color indexed="81"/>
            <rFont val="Tahoma"/>
            <family val="2"/>
          </rPr>
          <t xml:space="preserve">
</t>
        </r>
      </text>
    </comment>
    <comment ref="C31" authorId="1" shapeId="0" xr:uid="{00000000-0006-0000-0600-000002000000}">
      <text>
        <r>
          <rPr>
            <b/>
            <sz val="9"/>
            <color indexed="81"/>
            <rFont val="Tahoma"/>
            <family val="2"/>
          </rPr>
          <t xml:space="preserve">Daniel Rechaussat: </t>
        </r>
        <r>
          <rPr>
            <sz val="9"/>
            <color indexed="81"/>
            <rFont val="Tahoma"/>
            <family val="2"/>
          </rPr>
          <t xml:space="preserve">
OUI  pas de certificat à fournir
NON un certificat à fournir</t>
        </r>
      </text>
    </comment>
  </commentList>
</comments>
</file>

<file path=xl/sharedStrings.xml><?xml version="1.0" encoding="utf-8"?>
<sst xmlns="http://schemas.openxmlformats.org/spreadsheetml/2006/main" count="612" uniqueCount="245">
  <si>
    <t>Modalités d'inscription</t>
  </si>
  <si>
    <t>(Voir le document de règlement d'inscription)</t>
  </si>
  <si>
    <r>
      <t>Pour les renouvellements</t>
    </r>
    <r>
      <rPr>
        <sz val="11"/>
        <color theme="1"/>
        <rFont val="Calibri"/>
        <family val="2"/>
        <scheme val="minor"/>
      </rPr>
      <t xml:space="preserve"> :</t>
    </r>
  </si>
  <si>
    <r>
      <t>Pour les nouveaux archers</t>
    </r>
    <r>
      <rPr>
        <sz val="11"/>
        <color theme="1"/>
        <rFont val="Calibri"/>
        <family val="2"/>
        <scheme val="minor"/>
      </rPr>
      <t xml:space="preserve"> :</t>
    </r>
  </si>
  <si>
    <t>Prérequis :</t>
  </si>
  <si>
    <t>Le tir à l'arc est un sport ouvert à tous ceux dont la musculature est suffisamment élaborée pour maintenir correctement la colonne vertébrale.</t>
  </si>
  <si>
    <r>
      <t xml:space="preserve">C'est pourquoi nos membres </t>
    </r>
    <r>
      <rPr>
        <b/>
        <sz val="11"/>
        <color indexed="8"/>
        <rFont val="Calibri"/>
        <family val="2"/>
      </rPr>
      <t>doivent être âgés de 14 ans au minimum dans l'année sportive.</t>
    </r>
  </si>
  <si>
    <t>S'il est pratiqué de façon occasionnelle (vacances), il ne présente cependant aucun risque. Il peut être pratiqué soit en loisir, soit en compétition.</t>
  </si>
  <si>
    <t>Tarifs :</t>
  </si>
  <si>
    <t>Poussin</t>
  </si>
  <si>
    <t>Jeune compétition</t>
  </si>
  <si>
    <t>Adulte compétition</t>
  </si>
  <si>
    <t>Pratiquant</t>
  </si>
  <si>
    <t>Non Pratiquant</t>
  </si>
  <si>
    <t>Handisport</t>
  </si>
  <si>
    <t>Découverte</t>
  </si>
  <si>
    <t>Double compagnie</t>
  </si>
  <si>
    <r>
      <t xml:space="preserve">Licence FFTA </t>
    </r>
    <r>
      <rPr>
        <vertAlign val="superscript"/>
        <sz val="11"/>
        <color indexed="8"/>
        <rFont val="Calibri"/>
        <family val="2"/>
      </rPr>
      <t>(*) (**)</t>
    </r>
  </si>
  <si>
    <t>Comité régional</t>
  </si>
  <si>
    <t>Comité départemental</t>
  </si>
  <si>
    <t>Cotisation Archers du Phénix</t>
  </si>
  <si>
    <t>Total</t>
  </si>
  <si>
    <t>Droit d'entrée à la première inscription</t>
  </si>
  <si>
    <t>Total nouvel adhérent</t>
  </si>
  <si>
    <t>(*) Le tarif intègre l'assurance invalidité/Accident : 0,28€</t>
  </si>
  <si>
    <t>(**) Le tarif intègre la participation aux « Grands Evènements Internationaux » : 2€</t>
  </si>
  <si>
    <t>Le coût de la licence est déterminé par la FFTA à laquelle notre club est affilié.</t>
  </si>
  <si>
    <t>La licence est valable du 01/09 au 31/08 de l'année suivante.</t>
  </si>
  <si>
    <t>Dégressivité familiale :</t>
  </si>
  <si>
    <t>Un tarif dégressif pour plusieurs inscriptions d'un même foyer est mis en place, à savoir : une réduction de :</t>
  </si>
  <si>
    <t>15 € pour la 2ème personne,</t>
  </si>
  <si>
    <t>20 €, pour les autres.</t>
  </si>
  <si>
    <t>Pour toute question n'hésitez pas à prendre contact avec nous à l'adresse  contacts@archers-du-phenix.info</t>
  </si>
  <si>
    <t>Les Archers du Phénix – 27 ter rue Léon Martine 92290 Châtenay-Malabry
Association loi 1901 n° 29111691 – Agrément F.F.T.A. n° 0892208
Agrément Jeunesse et Sports N° 92 S 644</t>
  </si>
  <si>
    <t>LES ARCHERS DU PHENIX</t>
  </si>
  <si>
    <t>site internet : http://www.archers-du-phenix.fr</t>
  </si>
  <si>
    <t>couriel : contacts@archers-du-phenix.fr</t>
  </si>
  <si>
    <t>Récapitulatif</t>
  </si>
  <si>
    <t>Nom &amp; Prénom</t>
  </si>
  <si>
    <t>Type Inscription</t>
  </si>
  <si>
    <t>Catégorie</t>
  </si>
  <si>
    <t>Licence</t>
  </si>
  <si>
    <t>F ou H</t>
  </si>
  <si>
    <r>
      <t>ASS</t>
    </r>
    <r>
      <rPr>
        <b/>
        <vertAlign val="superscript"/>
        <sz val="11"/>
        <color indexed="8"/>
        <rFont val="Calibri"/>
        <family val="2"/>
      </rPr>
      <t>*</t>
    </r>
  </si>
  <si>
    <t>FFTA</t>
  </si>
  <si>
    <t>Remise famille</t>
  </si>
  <si>
    <t>Sélectionnez…</t>
  </si>
  <si>
    <t>(*) Prise de l'assurance individuelle accident . Si "Erreur" allez sélectionner l'option dans la fiche membre</t>
  </si>
  <si>
    <t>(**) Groupement des Archers du Phénix (licence FTL) à régler au reponsable du GAP le cas échéant</t>
  </si>
  <si>
    <r>
      <rPr>
        <b/>
        <u/>
        <sz val="11"/>
        <color rgb="FF000000"/>
        <rFont val="Times New Roman"/>
        <family val="1"/>
      </rPr>
      <t>Règlement</t>
    </r>
    <r>
      <rPr>
        <b/>
        <sz val="11"/>
        <color rgb="FF000000"/>
        <rFont val="Times New Roman"/>
        <family val="1"/>
      </rPr>
      <t> :  l'ordre des Archers du Phénix</t>
    </r>
  </si>
  <si>
    <t>Montant</t>
  </si>
  <si>
    <t xml:space="preserve">Chèque n° : </t>
  </si>
  <si>
    <t xml:space="preserve">Virement le : </t>
  </si>
  <si>
    <t xml:space="preserve">Pass'Sport : </t>
  </si>
  <si>
    <t xml:space="preserve">Ticket P@ss92 n° : </t>
  </si>
  <si>
    <t xml:space="preserve">Comité d'entreprise : </t>
  </si>
  <si>
    <t xml:space="preserve">Nb Coupon Sport ANCV : </t>
  </si>
  <si>
    <t xml:space="preserve">Valeurs : </t>
  </si>
  <si>
    <r>
      <t xml:space="preserve">Comm. ANCV </t>
    </r>
    <r>
      <rPr>
        <vertAlign val="superscript"/>
        <sz val="11"/>
        <color indexed="8"/>
        <rFont val="Calibri"/>
        <family val="2"/>
      </rPr>
      <t>(*</t>
    </r>
    <r>
      <rPr>
        <vertAlign val="superscript"/>
        <sz val="11"/>
        <color indexed="56"/>
        <rFont val="Calibri"/>
        <family val="2"/>
      </rPr>
      <t>*)</t>
    </r>
    <r>
      <rPr>
        <sz val="11"/>
        <color theme="1"/>
        <rFont val="Calibri"/>
        <family val="2"/>
        <scheme val="minor"/>
      </rPr>
      <t xml:space="preserve"> :</t>
    </r>
  </si>
  <si>
    <t xml:space="preserve">Espèces : </t>
  </si>
  <si>
    <t xml:space="preserve">Autre : </t>
  </si>
  <si>
    <r>
      <rPr>
        <i/>
        <sz val="9"/>
        <color rgb="FF003366"/>
        <rFont val="Calibri"/>
        <family val="2"/>
      </rPr>
      <t xml:space="preserve">(**) 2,5 </t>
    </r>
    <r>
      <rPr>
        <i/>
        <sz val="9"/>
        <color rgb="FF000000"/>
        <rFont val="Calibri"/>
        <family val="2"/>
      </rPr>
      <t>% du montant total</t>
    </r>
  </si>
  <si>
    <t>Caution Prêt arc initiation</t>
  </si>
  <si>
    <t>(base 300€, ou plus selon la nature de l'arc en prêt)</t>
  </si>
  <si>
    <t>Souhaitez vous un reçu pour votre Comité d'entreprise ?</t>
  </si>
  <si>
    <t>Chèques</t>
  </si>
  <si>
    <t>Etablissement</t>
  </si>
  <si>
    <t>Numéro(s)</t>
  </si>
  <si>
    <r>
      <t xml:space="preserve">A encaisser le </t>
    </r>
    <r>
      <rPr>
        <b/>
        <vertAlign val="superscript"/>
        <sz val="11"/>
        <color indexed="8"/>
        <rFont val="Calibri"/>
        <family val="2"/>
      </rPr>
      <t>(***)</t>
    </r>
  </si>
  <si>
    <t>(***) Date ou mention "Caution"</t>
  </si>
  <si>
    <t>Fiche D'inscription</t>
  </si>
  <si>
    <t>Type d'inscription</t>
  </si>
  <si>
    <t>Club /Cie d’origine :</t>
  </si>
  <si>
    <t xml:space="preserve">N° de licence : </t>
  </si>
  <si>
    <t xml:space="preserve">Nom  :  </t>
  </si>
  <si>
    <t xml:space="preserve">Prénom : </t>
  </si>
  <si>
    <t xml:space="preserve">Date de naissance : </t>
  </si>
  <si>
    <t xml:space="preserve">Nationalité : </t>
  </si>
  <si>
    <t xml:space="preserve">Nom de naissance : </t>
  </si>
  <si>
    <t xml:space="preserve">Ville de naissance : </t>
  </si>
  <si>
    <t xml:space="preserve">Départ. de naissance : </t>
  </si>
  <si>
    <t xml:space="preserve">Pays de naissance : </t>
  </si>
  <si>
    <t xml:space="preserve">Adresse complète : </t>
  </si>
  <si>
    <t>CP &amp; Ville :</t>
  </si>
  <si>
    <t xml:space="preserve">Couriel : </t>
  </si>
  <si>
    <t>Civilité (F ou H):</t>
  </si>
  <si>
    <t>Profession :</t>
  </si>
  <si>
    <t>Téléphone domicile :</t>
  </si>
  <si>
    <t xml:space="preserve">Tél. Mobile : </t>
  </si>
  <si>
    <r>
      <t>J'autorise l'association à publier les photographies me concernant sur le site public et/ou l'espace privé Facebook des Archers du phénix</t>
    </r>
    <r>
      <rPr>
        <i/>
        <sz val="12"/>
        <color indexed="8"/>
        <rFont val="Times New Roman"/>
        <family val="1"/>
      </rPr>
      <t xml:space="preserve">. </t>
    </r>
    <r>
      <rPr>
        <b/>
        <sz val="12"/>
        <color indexed="8"/>
        <rFont val="Wingdings 2"/>
        <family val="1"/>
        <charset val="2"/>
      </rPr>
      <t/>
    </r>
  </si>
  <si>
    <t>Œil directeur </t>
  </si>
  <si>
    <t>Je mesure</t>
  </si>
  <si>
    <t>Allonge AMO</t>
  </si>
  <si>
    <t>Ma taille de 
tee-shirt</t>
  </si>
  <si>
    <t>Prêt de matériel d'initiation (*)</t>
  </si>
  <si>
    <t>Arme :</t>
  </si>
  <si>
    <t>Jour d’entraînement</t>
  </si>
  <si>
    <t>Certificat médical </t>
  </si>
  <si>
    <t xml:space="preserve">Date  :  </t>
  </si>
  <si>
    <t>jj/mm/aaaa</t>
  </si>
  <si>
    <t xml:space="preserve">Avec mention « Run Archery » </t>
  </si>
  <si>
    <t>écrire Oui/Non</t>
  </si>
  <si>
    <t xml:space="preserve">Avec mention « Compétition » </t>
  </si>
  <si>
    <t>Questionnaire santé</t>
  </si>
  <si>
    <t xml:space="preserve"> NON à toutes les questions</t>
  </si>
  <si>
    <t>Document reçus (*) :</t>
  </si>
  <si>
    <t>Statut et/ou règlement intérieur</t>
  </si>
  <si>
    <t>(*) le signataire adhère aux règlement intérieur et Statuts de l'association ainsi qu'à la police d'accès au terrain et/ou à la convention de prêt de matériels d'initiation.</t>
  </si>
  <si>
    <t>Assurance FFTA</t>
  </si>
  <si>
    <r>
      <rPr>
        <b/>
        <u/>
        <sz val="12"/>
        <color indexed="8"/>
        <rFont val="Times New Roman"/>
        <family val="1"/>
      </rPr>
      <t>Objectif de pratique</t>
    </r>
    <r>
      <rPr>
        <sz val="12"/>
        <color indexed="8"/>
        <rFont val="Times New Roman"/>
        <family val="1"/>
      </rPr>
      <t xml:space="preserve"> :  </t>
    </r>
  </si>
  <si>
    <t>Niveau</t>
  </si>
  <si>
    <r>
      <t>Date et signature de l’adhérent (ou du responsable légal)</t>
    </r>
    <r>
      <rPr>
        <sz val="12"/>
        <color indexed="8"/>
        <rFont val="Times New Roman"/>
        <family val="1"/>
      </rPr>
      <t xml:space="preserve"> </t>
    </r>
    <r>
      <rPr>
        <sz val="12"/>
        <color indexed="55"/>
        <rFont val="Times New Roman"/>
        <family val="1"/>
      </rPr>
      <t>Mention "Lu et Approuvé"</t>
    </r>
  </si>
  <si>
    <t>Autorisation du Responsable (pour les mineurs)</t>
  </si>
  <si>
    <t>Nom &amp; prénom</t>
  </si>
  <si>
    <t>agissant en tant que</t>
  </si>
  <si>
    <t>Couriel Père</t>
  </si>
  <si>
    <t xml:space="preserve">Mobile Père : </t>
  </si>
  <si>
    <t>Couriel Mère</t>
  </si>
  <si>
    <t xml:space="preserve">Mobile Mère : </t>
  </si>
  <si>
    <t>Mode opératoire</t>
  </si>
  <si>
    <t>Remplissez autant de fiches que de membre de votre famille désirant adhérer aux Archers du Phénix. Seules les cases sur fonds jaunes sont à remplir.</t>
  </si>
  <si>
    <r>
      <rPr>
        <sz val="11"/>
        <color rgb="FF000000"/>
        <rFont val="Calibri"/>
        <family val="2"/>
      </rPr>
      <t>Communiquez le fichier par mail à l'adresse "</t>
    </r>
    <r>
      <rPr>
        <b/>
        <sz val="11"/>
        <color rgb="FF000000"/>
        <rFont val="Calibri"/>
        <family val="2"/>
      </rPr>
      <t>contacts@archers-du-phenix.fr</t>
    </r>
    <r>
      <rPr>
        <sz val="11"/>
        <color rgb="FF000000"/>
        <rFont val="Calibri"/>
        <family val="2"/>
      </rPr>
      <t xml:space="preserve">" </t>
    </r>
  </si>
  <si>
    <t>Sélectionnez les onglets "Récapitulatif" et  "Membre" remplis (CTRL + clic sur chaque onglet) et imprimez en cochant "Feuilles sélectionnées" dans la boite de dialogue d'impression</t>
  </si>
  <si>
    <t>Signez les fiches membres et autorisations parentales</t>
  </si>
  <si>
    <t>Passez nous voir sur notre stand du forum des associations le premier samedi du mois de septembre pour finaliser votre inscription et opérer le règlement.
N'oubliez pas les certificats médicaux éventuels. Une photo sera prise par membre inscrit pour le trombinoscope interne.</t>
  </si>
  <si>
    <t>Important</t>
  </si>
  <si>
    <t>L'envoi par mail du dossier d'adhésion ne constitue qu'une intention d'inscription.</t>
  </si>
  <si>
    <t>- Documents signés</t>
  </si>
  <si>
    <t>- Questionnaire de santé ou certificat médical et photo d'identité numérique ou papier</t>
  </si>
  <si>
    <t>- Règlement en totalité du dossier d'inscription</t>
  </si>
  <si>
    <t>- Remise des statuts, Règlement Intérieur de l'association et bordereau d'inscription</t>
  </si>
  <si>
    <t xml:space="preserve"> </t>
  </si>
  <si>
    <t xml:space="preserve">Saison : </t>
  </si>
  <si>
    <t>Forum des associations</t>
  </si>
  <si>
    <t>Catégories d'âges</t>
  </si>
  <si>
    <t>Tarifs</t>
  </si>
  <si>
    <t>Année dans la catégorie</t>
  </si>
  <si>
    <t>Né après</t>
  </si>
  <si>
    <t>Libellé</t>
  </si>
  <si>
    <t>Age Min</t>
  </si>
  <si>
    <t>Age Max</t>
  </si>
  <si>
    <t>Inscr.</t>
  </si>
  <si>
    <t>Renouv.</t>
  </si>
  <si>
    <t>Sénior 3</t>
  </si>
  <si>
    <t>S3 (Sénior 3)</t>
  </si>
  <si>
    <t>Senior 1 : de 21 à 39 ans</t>
  </si>
  <si>
    <t>Sénior 2</t>
  </si>
  <si>
    <t>S2 (Sénior 2)</t>
  </si>
  <si>
    <t>Senior 2 : de 40 à 59 ans</t>
  </si>
  <si>
    <t>Sénior 1</t>
  </si>
  <si>
    <t>S1 (Sénior 1)</t>
  </si>
  <si>
    <t>Senior 3 : 60 ans et plus </t>
  </si>
  <si>
    <t>Junior</t>
  </si>
  <si>
    <t>U21 (Jeune)</t>
  </si>
  <si>
    <t>Cadet(te)</t>
  </si>
  <si>
    <t>U18 (Jeune)</t>
  </si>
  <si>
    <t>Minime</t>
  </si>
  <si>
    <t>U15 (Jeune)</t>
  </si>
  <si>
    <t>Benjamin</t>
  </si>
  <si>
    <t>U13 (Jeune)</t>
  </si>
  <si>
    <t>U11 (Poussin)</t>
  </si>
  <si>
    <t>Date Pivot</t>
  </si>
  <si>
    <t>Cotisations</t>
  </si>
  <si>
    <t>Droit d'entrée</t>
  </si>
  <si>
    <t>Annuelle adlute</t>
  </si>
  <si>
    <t>Quotepart Statutaire</t>
  </si>
  <si>
    <t>de la cotisation annuelle adulte soit</t>
  </si>
  <si>
    <t>Quotepart Sportive</t>
  </si>
  <si>
    <t>Cotisation jeune</t>
  </si>
  <si>
    <t>Arrondi à</t>
  </si>
  <si>
    <t>le plus proche</t>
  </si>
  <si>
    <t>Version transposée</t>
  </si>
  <si>
    <r>
      <t>FFTA</t>
    </r>
    <r>
      <rPr>
        <b/>
        <vertAlign val="superscript"/>
        <sz val="11"/>
        <color indexed="8"/>
        <rFont val="Calibri"/>
        <family val="2"/>
      </rPr>
      <t xml:space="preserve"> (*)</t>
    </r>
  </si>
  <si>
    <t>Evenements</t>
  </si>
  <si>
    <t>IDF</t>
  </si>
  <si>
    <t>Statutaire</t>
  </si>
  <si>
    <t>Sportive</t>
  </si>
  <si>
    <t xml:space="preserve">Renouvellant </t>
  </si>
  <si>
    <t>Nouveaux</t>
  </si>
  <si>
    <t>parts fédérales</t>
  </si>
  <si>
    <t>P</t>
  </si>
  <si>
    <t>J</t>
  </si>
  <si>
    <t>Jeune</t>
  </si>
  <si>
    <t>A</t>
  </si>
  <si>
    <t>Compétition</t>
  </si>
  <si>
    <t>L</t>
  </si>
  <si>
    <t>Club</t>
  </si>
  <si>
    <t>E</t>
  </si>
  <si>
    <t>Pas de pratique</t>
  </si>
  <si>
    <t>D</t>
  </si>
  <si>
    <t>U-S</t>
  </si>
  <si>
    <t>UNSS - FFSU</t>
  </si>
  <si>
    <t>FFSU</t>
  </si>
  <si>
    <t>H</t>
  </si>
  <si>
    <t>FFH (Handisport)</t>
  </si>
  <si>
    <t>FFSA</t>
  </si>
  <si>
    <t>Assurance Individuelle accident</t>
  </si>
  <si>
    <t>Evènements internationaux</t>
  </si>
  <si>
    <t>FFTL</t>
  </si>
  <si>
    <t>Vétéran</t>
  </si>
  <si>
    <t>Adulte</t>
  </si>
  <si>
    <t>Cadet</t>
  </si>
  <si>
    <t>Abonnement</t>
  </si>
  <si>
    <t>Non</t>
  </si>
  <si>
    <t>1 an (22€)</t>
  </si>
  <si>
    <t>2 ans (40€)</t>
  </si>
  <si>
    <t>Remise Famille</t>
  </si>
  <si>
    <t>2eme membre</t>
  </si>
  <si>
    <t>3 membres et plus</t>
  </si>
  <si>
    <t>Remise Entraîneur</t>
  </si>
  <si>
    <t>Arbitre</t>
  </si>
  <si>
    <t>Entraîneur1</t>
  </si>
  <si>
    <t>Quotepart sportive</t>
  </si>
  <si>
    <t>Entraîneur2</t>
  </si>
  <si>
    <t>Assistant</t>
  </si>
  <si>
    <t>70% de la Quotepart sportive</t>
  </si>
  <si>
    <t>ANCV coupons sport</t>
  </si>
  <si>
    <t>&gt; à 0€</t>
  </si>
  <si>
    <t>Caution Arc Initiation</t>
  </si>
  <si>
    <t>Jour entraînement</t>
  </si>
  <si>
    <t>Mardi soir</t>
  </si>
  <si>
    <t>Mercredi soir</t>
  </si>
  <si>
    <t>samedi après midi</t>
  </si>
  <si>
    <t>Sans</t>
  </si>
  <si>
    <t>Flèche Blanche</t>
  </si>
  <si>
    <t>Flèche Noir</t>
  </si>
  <si>
    <t>Flèche Bleue</t>
  </si>
  <si>
    <t>Flèche Rouge</t>
  </si>
  <si>
    <t>Flèche Jaune</t>
  </si>
  <si>
    <t>Flèche Bronze</t>
  </si>
  <si>
    <t>Flèche Argent</t>
  </si>
  <si>
    <t>Flèche Or</t>
  </si>
  <si>
    <t>Catégorie arc</t>
  </si>
  <si>
    <t>AP - Arc à Poulies  (viseur)</t>
  </si>
  <si>
    <t xml:space="preserve">CH - Arc Chasse </t>
  </si>
  <si>
    <t>CL - Arc Classique  (viseur)</t>
  </si>
  <si>
    <t xml:space="preserve">LB - Arc Droit </t>
  </si>
  <si>
    <t>LI - Arc Libre (viseur)</t>
  </si>
  <si>
    <t xml:space="preserve">NU - Arc Nu </t>
  </si>
  <si>
    <t xml:space="preserve">PN - Arc à Poulies Nu </t>
  </si>
  <si>
    <t>IN - Inconnu</t>
  </si>
  <si>
    <t>https://www.archers-du-phenix.fr/contactez-nous</t>
  </si>
  <si>
    <t>Pour toute inscription d'archers confirmés après les forum des associations, merci de prendre contact via le formulaire de contact :</t>
  </si>
  <si>
    <r>
      <t>Si vous désirez pratiquer le</t>
    </r>
    <r>
      <rPr>
        <b/>
        <sz val="11"/>
        <color indexed="8"/>
        <rFont val="Calibri"/>
        <family val="2"/>
      </rPr>
      <t xml:space="preserve"> Run Archery</t>
    </r>
    <r>
      <rPr>
        <sz val="11"/>
        <color theme="1"/>
        <rFont val="Calibri"/>
        <family val="2"/>
        <scheme val="minor"/>
      </rPr>
      <t xml:space="preserve">, le certificat médical doit mentionner la non contre-indication « </t>
    </r>
    <r>
      <rPr>
        <sz val="11"/>
        <color rgb="FF000000"/>
        <rFont val="Calibri"/>
        <family val="2"/>
      </rPr>
      <t xml:space="preserve">à la pratique du tir à l'arc, y compris en compétition </t>
    </r>
    <r>
      <rPr>
        <b/>
        <sz val="11"/>
        <color indexed="8"/>
        <rFont val="Calibri"/>
        <family val="2"/>
      </rPr>
      <t>et en Run Archery</t>
    </r>
    <r>
      <rPr>
        <sz val="11"/>
        <color theme="1"/>
        <rFont val="Calibri"/>
        <family val="2"/>
        <scheme val="minor"/>
      </rPr>
      <t xml:space="preserve"> »</t>
    </r>
  </si>
  <si>
    <r>
      <t xml:space="preserve">Pour les mineurs et les adultes : l convient de renseigner un auto-questionnaire de santé pour savoir si vous devez fournir un certificat médical. En cas de réponse positive à une des questions, un certificat médical mentionnant la non-contre-indication </t>
    </r>
    <r>
      <rPr>
        <b/>
        <sz val="11"/>
        <color rgb="FF000000"/>
        <rFont val="Calibri"/>
        <family val="2"/>
        <scheme val="minor"/>
      </rPr>
      <t>« à la pratique du tir à l'arc, y compris en compétition »</t>
    </r>
    <r>
      <rPr>
        <sz val="11"/>
        <color rgb="FF000000"/>
        <rFont val="Calibri"/>
        <family val="2"/>
        <scheme val="minor"/>
      </rPr>
      <t xml:space="preserve"> datant de moins d’un an sera exigé.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</si>
</sst>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164" formatCode="#,##0.00\ &quot;€&quot;"/>
    <numFmt numFmtId="165" formatCode="0#&quot; &quot;##&quot; &quot;##&quot; &quot;##&quot; &quot;##"/>
    <numFmt numFmtId="166" formatCode="#,##0.0"/>
  </numFmts>
  <fonts count="58" x14ac:knownFonts="1">
    <font>
      <sz val="11"/>
      <color theme="1"/>
      <name val="Calibri"/>
      <family val="2"/>
      <scheme val="minor"/>
    </font>
    <font>
      <sz val="12"/>
      <color indexed="8"/>
      <name val="Times New Roman"/>
      <family val="1"/>
    </font>
    <font>
      <b/>
      <sz val="12"/>
      <color indexed="8"/>
      <name val="Wingdings 2"/>
      <family val="1"/>
      <charset val="2"/>
    </font>
    <font>
      <b/>
      <u/>
      <sz val="12"/>
      <color indexed="8"/>
      <name val="Times New Roman"/>
      <family val="1"/>
    </font>
    <font>
      <sz val="12"/>
      <name val="Times New Roman"/>
      <family val="1"/>
    </font>
    <font>
      <b/>
      <sz val="11"/>
      <color indexed="8"/>
      <name val="Calibri"/>
      <family val="2"/>
    </font>
    <font>
      <i/>
      <sz val="12"/>
      <color indexed="8"/>
      <name val="Times New Roman"/>
      <family val="1"/>
    </font>
    <font>
      <sz val="12"/>
      <color indexed="55"/>
      <name val="Times New Roman"/>
      <family val="1"/>
    </font>
    <font>
      <b/>
      <vertAlign val="superscript"/>
      <sz val="11"/>
      <color indexed="8"/>
      <name val="Calibri"/>
      <family val="2"/>
    </font>
    <font>
      <vertAlign val="superscript"/>
      <sz val="11"/>
      <color indexed="8"/>
      <name val="Calibri"/>
      <family val="2"/>
    </font>
    <font>
      <vertAlign val="superscript"/>
      <sz val="11"/>
      <color indexed="56"/>
      <name val="Calibri"/>
      <family val="2"/>
    </font>
    <font>
      <sz val="9"/>
      <color indexed="81"/>
      <name val="Tahoma"/>
      <family val="2"/>
    </font>
    <font>
      <b/>
      <u/>
      <sz val="11"/>
      <color indexed="8"/>
      <name val="Times New Roman"/>
      <family val="1"/>
    </font>
    <font>
      <b/>
      <sz val="9"/>
      <color indexed="81"/>
      <name val="Tahoma"/>
      <family val="2"/>
    </font>
    <font>
      <sz val="10"/>
      <name val="Arial"/>
      <family val="2"/>
    </font>
    <font>
      <b/>
      <sz val="12"/>
      <color indexed="8"/>
      <name val="Times New Roman"/>
      <family val="1"/>
    </font>
    <font>
      <sz val="11"/>
      <color rgb="FFFF0000"/>
      <name val="Calibri"/>
      <family val="2"/>
      <scheme val="minor"/>
    </font>
    <font>
      <u/>
      <sz val="11"/>
      <color theme="10"/>
      <name val="Calibri"/>
      <family val="2"/>
    </font>
    <font>
      <b/>
      <sz val="11"/>
      <color theme="1"/>
      <name val="Calibri"/>
      <family val="2"/>
      <scheme val="minor"/>
    </font>
    <font>
      <sz val="12"/>
      <color theme="1"/>
      <name val="Times New Roman"/>
      <family val="1"/>
    </font>
    <font>
      <shadow/>
      <sz val="16"/>
      <color theme="1"/>
      <name val="Times New Roman"/>
      <family val="1"/>
    </font>
    <font>
      <u/>
      <sz val="12"/>
      <color theme="1"/>
      <name val="Times New Roman"/>
      <family val="1"/>
    </font>
    <font>
      <b/>
      <u/>
      <sz val="16"/>
      <color theme="1"/>
      <name val="Times New Roman"/>
      <family val="1"/>
    </font>
    <font>
      <sz val="11"/>
      <color theme="1"/>
      <name val="Times New Roman"/>
      <family val="1"/>
    </font>
    <font>
      <shadow/>
      <u/>
      <sz val="22"/>
      <color theme="1"/>
      <name val="Times New Roman"/>
      <family val="1"/>
    </font>
    <font>
      <sz val="9"/>
      <color theme="0" tint="-0.499984740745262"/>
      <name val="Calibri"/>
      <family val="2"/>
      <scheme val="minor"/>
    </font>
    <font>
      <sz val="12"/>
      <color theme="1"/>
      <name val="Calibri"/>
      <family val="2"/>
      <scheme val="minor"/>
    </font>
    <font>
      <b/>
      <u/>
      <sz val="16"/>
      <color theme="1"/>
      <name val="Calibri"/>
      <family val="2"/>
      <scheme val="minor"/>
    </font>
    <font>
      <b/>
      <sz val="12"/>
      <color theme="1"/>
      <name val="Times New Roman"/>
      <family val="1"/>
    </font>
    <font>
      <sz val="10"/>
      <color theme="0" tint="-0.249977111117893"/>
      <name val="Times New Roman"/>
      <family val="1"/>
    </font>
    <font>
      <sz val="10"/>
      <color theme="0" tint="-0.24994659260841701"/>
      <name val="Times New Roman"/>
      <family val="1"/>
    </font>
    <font>
      <i/>
      <sz val="9"/>
      <color theme="1"/>
      <name val="Calibri"/>
      <family val="2"/>
      <scheme val="minor"/>
    </font>
    <font>
      <b/>
      <u/>
      <sz val="11"/>
      <color theme="1"/>
      <name val="Times New Roman"/>
      <family val="1"/>
    </font>
    <font>
      <sz val="11"/>
      <name val="Calibri"/>
      <family val="2"/>
      <scheme val="minor"/>
    </font>
    <font>
      <b/>
      <sz val="11"/>
      <name val="Calibri"/>
      <family val="2"/>
      <scheme val="minor"/>
    </font>
    <font>
      <sz val="12"/>
      <color theme="0" tint="-0.249977111117893"/>
      <name val="Times New Roman"/>
      <family val="1"/>
    </font>
    <font>
      <b/>
      <sz val="12"/>
      <color theme="1"/>
      <name val="Calibri"/>
      <family val="2"/>
      <scheme val="minor"/>
    </font>
    <font>
      <sz val="11"/>
      <color theme="0" tint="-0.34998626667073579"/>
      <name val="Calibri"/>
      <family val="2"/>
      <scheme val="minor"/>
    </font>
    <font>
      <sz val="18"/>
      <color theme="1"/>
      <name val="Calibri"/>
      <family val="2"/>
      <scheme val="minor"/>
    </font>
    <font>
      <shadow/>
      <u/>
      <sz val="16"/>
      <color theme="1"/>
      <name val="Times New Roman"/>
      <family val="1"/>
    </font>
    <font>
      <shadow/>
      <sz val="12"/>
      <color theme="1"/>
      <name val="Times New Roman"/>
      <family val="1"/>
    </font>
    <font>
      <i/>
      <sz val="12"/>
      <color theme="1"/>
      <name val="Times New Roman"/>
      <family val="1"/>
    </font>
    <font>
      <sz val="10"/>
      <color theme="0" tint="-0.499984740745262"/>
      <name val="Calibri"/>
      <family val="2"/>
      <scheme val="minor"/>
    </font>
    <font>
      <i/>
      <sz val="10"/>
      <color theme="1"/>
      <name val="Calibri"/>
      <family val="2"/>
      <scheme val="minor"/>
    </font>
    <font>
      <b/>
      <u/>
      <sz val="12"/>
      <color theme="1"/>
      <name val="Times New Roman"/>
      <family val="1"/>
    </font>
    <font>
      <b/>
      <shadow/>
      <sz val="12"/>
      <color theme="1"/>
      <name val="Times New Roman"/>
      <family val="1"/>
    </font>
    <font>
      <sz val="8"/>
      <color indexed="8"/>
      <name val="Arial"/>
      <family val="2"/>
    </font>
    <font>
      <b/>
      <sz val="8"/>
      <color indexed="8"/>
      <name val="Arial"/>
      <family val="2"/>
    </font>
    <font>
      <sz val="8"/>
      <name val="Arial"/>
      <family val="2"/>
    </font>
    <font>
      <sz val="11"/>
      <color rgb="FF000000"/>
      <name val="Calibri"/>
      <family val="2"/>
      <scheme val="minor"/>
    </font>
    <font>
      <b/>
      <sz val="11"/>
      <color rgb="FF000000"/>
      <name val="Calibri"/>
      <family val="2"/>
      <scheme val="minor"/>
    </font>
    <font>
      <b/>
      <u/>
      <sz val="11"/>
      <color rgb="FF000000"/>
      <name val="Times New Roman"/>
      <family val="1"/>
    </font>
    <font>
      <b/>
      <sz val="11"/>
      <color rgb="FF000000"/>
      <name val="Times New Roman"/>
      <family val="1"/>
    </font>
    <font>
      <i/>
      <sz val="9"/>
      <color rgb="FF003366"/>
      <name val="Calibri"/>
      <family val="2"/>
    </font>
    <font>
      <i/>
      <sz val="9"/>
      <color rgb="FF000000"/>
      <name val="Calibri"/>
      <family val="2"/>
    </font>
    <font>
      <i/>
      <sz val="9"/>
      <color theme="1"/>
      <name val="Calibri"/>
      <family val="2"/>
    </font>
    <font>
      <sz val="11"/>
      <color rgb="FF000000"/>
      <name val="Calibri"/>
      <family val="2"/>
    </font>
    <font>
      <b/>
      <sz val="11"/>
      <color rgb="FF000000"/>
      <name val="Calibri"/>
      <family val="2"/>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12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theme="0" tint="-0.34998626667073579"/>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thin">
        <color indexed="64"/>
      </right>
      <top style="thin">
        <color indexed="64"/>
      </top>
      <bottom style="thin">
        <color indexed="64"/>
      </bottom>
      <diagonal/>
    </border>
    <border>
      <left style="thin">
        <color theme="0" tint="-0.34998626667073579"/>
      </left>
      <right style="thin">
        <color theme="0" tint="-0.34998626667073579"/>
      </right>
      <top/>
      <bottom style="thin">
        <color theme="0" tint="-0.34998626667073579"/>
      </bottom>
      <diagonal/>
    </border>
    <border>
      <left style="hair">
        <color theme="0" tint="-0.14996795556505021"/>
      </left>
      <right style="hair">
        <color theme="0" tint="-0.14996795556505021"/>
      </right>
      <top style="hair">
        <color theme="0" tint="-0.14996795556505021"/>
      </top>
      <bottom style="hair">
        <color theme="0" tint="-0.14996795556505021"/>
      </bottom>
      <diagonal/>
    </border>
    <border>
      <left/>
      <right/>
      <top style="thin">
        <color theme="0" tint="-0.34998626667073579"/>
      </top>
      <bottom style="thin">
        <color theme="0" tint="-0.34998626667073579"/>
      </bottom>
      <diagonal/>
    </border>
    <border>
      <left style="thin">
        <color indexed="64"/>
      </left>
      <right/>
      <top style="thin">
        <color indexed="64"/>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indexed="64"/>
      </left>
      <right/>
      <top style="thin">
        <color theme="0" tint="-0.34998626667073579"/>
      </top>
      <bottom style="thin">
        <color indexed="64"/>
      </bottom>
      <diagonal/>
    </border>
    <border>
      <left style="thin">
        <color theme="0" tint="-0.14996795556505021"/>
      </left>
      <right/>
      <top style="thin">
        <color theme="0" tint="-0.1499679555650502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style="hair">
        <color theme="0" tint="-0.14996795556505021"/>
      </left>
      <right style="thin">
        <color theme="0" tint="-0.14996795556505021"/>
      </right>
      <top style="thin">
        <color theme="0" tint="-0.14996795556505021"/>
      </top>
      <bottom style="hair">
        <color theme="0" tint="-0.14996795556505021"/>
      </bottom>
      <diagonal/>
    </border>
    <border>
      <left style="thin">
        <color theme="0" tint="-0.14996795556505021"/>
      </left>
      <right/>
      <top/>
      <bottom/>
      <diagonal/>
    </border>
    <border>
      <left style="hair">
        <color theme="0" tint="-0.14993743705557422"/>
      </left>
      <right style="hair">
        <color theme="0" tint="-0.14993743705557422"/>
      </right>
      <top style="hair">
        <color theme="0" tint="-0.14996795556505021"/>
      </top>
      <bottom style="thin">
        <color theme="0" tint="-0.14996795556505021"/>
      </bottom>
      <diagonal/>
    </border>
    <border>
      <left style="hair">
        <color theme="0" tint="-0.14993743705557422"/>
      </left>
      <right style="thin">
        <color theme="0" tint="-0.14996795556505021"/>
      </right>
      <top style="hair">
        <color theme="0" tint="-0.14996795556505021"/>
      </top>
      <bottom style="thin">
        <color theme="0" tint="-0.14996795556505021"/>
      </bottom>
      <diagonal/>
    </border>
    <border>
      <left style="hair">
        <color theme="0" tint="-0.34998626667073579"/>
      </left>
      <right style="thin">
        <color theme="0" tint="-0.14996795556505021"/>
      </right>
      <top style="thin">
        <color theme="0" tint="-0.14996795556505021"/>
      </top>
      <bottom style="thin">
        <color theme="0" tint="-0.14996795556505021"/>
      </bottom>
      <diagonal/>
    </border>
    <border>
      <left style="hair">
        <color theme="0" tint="-0.14996795556505021"/>
      </left>
      <right style="hair">
        <color theme="0" tint="-0.14996795556505021"/>
      </right>
      <top style="thin">
        <color theme="0" tint="-0.14996795556505021"/>
      </top>
      <bottom style="hair">
        <color theme="0" tint="-0.14996795556505021"/>
      </bottom>
      <diagonal/>
    </border>
    <border>
      <left style="hair">
        <color theme="0" tint="-0.14996795556505021"/>
      </left>
      <right style="thin">
        <color theme="0" tint="-0.14996795556505021"/>
      </right>
      <top style="hair">
        <color theme="0" tint="-0.14996795556505021"/>
      </top>
      <bottom style="hair">
        <color theme="0" tint="-0.14996795556505021"/>
      </bottom>
      <diagonal/>
    </border>
    <border>
      <left style="hair">
        <color theme="0" tint="-0.14996795556505021"/>
      </left>
      <right style="hair">
        <color theme="0" tint="-0.14996795556505021"/>
      </right>
      <top style="hair">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bottom style="thin">
        <color theme="0" tint="-0.14996795556505021"/>
      </bottom>
      <diagonal/>
    </border>
    <border>
      <left style="hair">
        <color theme="0" tint="-0.14993743705557422"/>
      </left>
      <right style="thin">
        <color theme="0" tint="-0.14996795556505021"/>
      </right>
      <top style="thin">
        <color theme="0" tint="-0.14990691854609822"/>
      </top>
      <bottom style="thin">
        <color theme="0" tint="-0.14996795556505021"/>
      </bottom>
      <diagonal/>
    </border>
    <border>
      <left/>
      <right style="thin">
        <color theme="0" tint="-0.14996795556505021"/>
      </right>
      <top style="thin">
        <color theme="0" tint="-0.14996795556505021"/>
      </top>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hair">
        <color theme="0" tint="-0.34998626667073579"/>
      </left>
      <right style="hair">
        <color theme="0" tint="-0.34998626667073579"/>
      </right>
      <top style="thin">
        <color theme="0" tint="-0.34998626667073579"/>
      </top>
      <bottom style="thin">
        <color theme="0" tint="-0.34998626667073579"/>
      </bottom>
      <diagonal/>
    </border>
    <border>
      <left style="thin">
        <color indexed="64"/>
      </left>
      <right style="thin">
        <color theme="0" tint="-0.34998626667073579"/>
      </right>
      <top/>
      <bottom style="thin">
        <color theme="0" tint="-0.34998626667073579"/>
      </bottom>
      <diagonal/>
    </border>
    <border>
      <left style="thin">
        <color theme="0" tint="-0.24994659260841701"/>
      </left>
      <right style="thin">
        <color theme="0" tint="-0.24994659260841701"/>
      </right>
      <top style="thin">
        <color theme="0" tint="-0.34998626667073579"/>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right/>
      <top style="thin">
        <color theme="0" tint="-0.499984740745262"/>
      </top>
      <bottom/>
      <diagonal/>
    </border>
    <border>
      <left/>
      <right style="hair">
        <color theme="0" tint="-0.14996795556505021"/>
      </right>
      <top/>
      <bottom/>
      <diagonal/>
    </border>
    <border>
      <left style="hair">
        <color theme="0" tint="-0.14996795556505021"/>
      </left>
      <right style="thin">
        <color theme="0" tint="-0.14996795556505021"/>
      </right>
      <top/>
      <bottom/>
      <diagonal/>
    </border>
    <border>
      <left style="hair">
        <color theme="0" tint="-0.14996795556505021"/>
      </left>
      <right style="hair">
        <color theme="0" tint="-0.14996795556505021"/>
      </right>
      <top/>
      <bottom style="thin">
        <color theme="0" tint="-0.14996795556505021"/>
      </bottom>
      <diagonal/>
    </border>
    <border>
      <left style="hair">
        <color theme="0" tint="-0.14996795556505021"/>
      </left>
      <right style="hair">
        <color theme="0" tint="-0.14996795556505021"/>
      </right>
      <top style="hair">
        <color theme="0" tint="-0.14996795556505021"/>
      </top>
      <bottom style="hair">
        <color theme="0" tint="-0.14993743705557422"/>
      </bottom>
      <diagonal/>
    </border>
    <border>
      <left style="hair">
        <color theme="0" tint="-0.14993743705557422"/>
      </left>
      <right style="hair">
        <color theme="0" tint="-0.14990691854609822"/>
      </right>
      <top style="thin">
        <color theme="0" tint="-0.14996795556505021"/>
      </top>
      <bottom style="thin">
        <color theme="0" tint="-0.14996795556505021"/>
      </bottom>
      <diagonal/>
    </border>
    <border>
      <left style="thin">
        <color indexed="64"/>
      </left>
      <right/>
      <top/>
      <bottom style="thin">
        <color theme="0" tint="-0.34998626667073579"/>
      </bottom>
      <diagonal/>
    </border>
    <border>
      <left style="hair">
        <color theme="0" tint="-0.34998626667073579"/>
      </left>
      <right/>
      <top/>
      <bottom style="thin">
        <color theme="0" tint="-0.34998626667073579"/>
      </bottom>
      <diagonal/>
    </border>
    <border>
      <left/>
      <right/>
      <top/>
      <bottom style="thin">
        <color theme="0" tint="-0.34998626667073579"/>
      </bottom>
      <diagonal/>
    </border>
    <border>
      <left/>
      <right/>
      <top style="thin">
        <color indexed="64"/>
      </top>
      <bottom style="thin">
        <color theme="0" tint="-0.34998626667073579"/>
      </bottom>
      <diagonal/>
    </border>
    <border>
      <left/>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diagonal/>
    </border>
    <border>
      <left style="thin">
        <color theme="0" tint="-0.24994659260841701"/>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indexed="64"/>
      </top>
      <bottom style="thin">
        <color theme="0" tint="-0.34998626667073579"/>
      </bottom>
      <diagonal/>
    </border>
    <border>
      <left style="thin">
        <color theme="0" tint="-0.34998626667073579"/>
      </left>
      <right/>
      <top style="thin">
        <color theme="0" tint="-0.34998626667073579"/>
      </top>
      <bottom style="thin">
        <color indexed="64"/>
      </bottom>
      <diagonal/>
    </border>
    <border>
      <left style="thin">
        <color theme="0" tint="-0.14996795556505021"/>
      </left>
      <right style="hair">
        <color theme="0" tint="-0.14996795556505021"/>
      </right>
      <top/>
      <bottom/>
      <diagonal/>
    </border>
    <border>
      <left/>
      <right style="hair">
        <color theme="0" tint="-0.14993743705557422"/>
      </right>
      <top style="hair">
        <color theme="0" tint="-0.14996795556505021"/>
      </top>
      <bottom/>
      <diagonal/>
    </border>
    <border>
      <left style="hair">
        <color theme="0" tint="-0.14996795556505021"/>
      </left>
      <right/>
      <top style="hair">
        <color theme="0" tint="-0.14996795556505021"/>
      </top>
      <bottom/>
      <diagonal/>
    </border>
    <border>
      <left style="hair">
        <color theme="0" tint="-0.14993743705557422"/>
      </left>
      <right style="hair">
        <color theme="0" tint="-0.14993743705557422"/>
      </right>
      <top/>
      <bottom style="thin">
        <color theme="0" tint="-0.14996795556505021"/>
      </bottom>
      <diagonal/>
    </border>
    <border>
      <left style="hair">
        <color theme="0" tint="-0.14993743705557422"/>
      </left>
      <right style="hair">
        <color theme="0" tint="-0.14993743705557422"/>
      </right>
      <top style="hair">
        <color theme="0" tint="-0.14996795556505021"/>
      </top>
      <bottom style="hair">
        <color theme="0" tint="-0.14990691854609822"/>
      </bottom>
      <diagonal/>
    </border>
    <border>
      <left style="hair">
        <color theme="0" tint="-0.14996795556505021"/>
      </left>
      <right style="hair">
        <color theme="0" tint="-0.14996795556505021"/>
      </right>
      <top style="hair">
        <color theme="0" tint="-0.14996795556505021"/>
      </top>
      <bottom/>
      <diagonal/>
    </border>
    <border>
      <left/>
      <right style="thin">
        <color theme="0" tint="-0.14996795556505021"/>
      </right>
      <top/>
      <bottom/>
      <diagonal/>
    </border>
    <border>
      <left style="hair">
        <color theme="0" tint="-0.14996795556505021"/>
      </left>
      <right style="hair">
        <color theme="0" tint="-0.14996795556505021"/>
      </right>
      <top style="thin">
        <color theme="0" tint="-0.14996795556505021"/>
      </top>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hair">
        <color theme="0" tint="-0.34998626667073579"/>
      </left>
      <right/>
      <top style="thin">
        <color theme="0" tint="-0.34998626667073579"/>
      </top>
      <bottom style="thin">
        <color indexed="64"/>
      </bottom>
      <diagonal/>
    </border>
    <border>
      <left style="hair">
        <color theme="0" tint="-0.34998626667073579"/>
      </left>
      <right/>
      <top style="thin">
        <color theme="0" tint="-0.34998626667073579"/>
      </top>
      <bottom style="thin">
        <color theme="0" tint="-0.34998626667073579"/>
      </bottom>
      <diagonal/>
    </border>
    <border>
      <left style="hair">
        <color theme="0" tint="-0.14996795556505021"/>
      </left>
      <right/>
      <top style="thin">
        <color indexed="64"/>
      </top>
      <bottom style="thin">
        <color indexed="64"/>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hair">
        <color theme="0" tint="-0.34998626667073579"/>
      </left>
      <right/>
      <top style="thin">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indexed="64"/>
      </bottom>
      <diagonal/>
    </border>
    <border>
      <left/>
      <right style="thin">
        <color theme="0" tint="-0.34998626667073579"/>
      </right>
      <top style="thin">
        <color indexed="64"/>
      </top>
      <bottom style="thin">
        <color theme="0" tint="-0.34998626667073579"/>
      </bottom>
      <diagonal/>
    </border>
    <border>
      <left style="hair">
        <color theme="0" tint="-0.14993743705557422"/>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hair">
        <color theme="0" tint="-0.14993743705557422"/>
      </right>
      <top style="thin">
        <color theme="0" tint="-0.14996795556505021"/>
      </top>
      <bottom style="thin">
        <color theme="0" tint="-0.14996795556505021"/>
      </bottom>
      <diagonal/>
    </border>
    <border>
      <left style="hair">
        <color theme="0" tint="-0.14996795556505021"/>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theme="0" tint="-0.14996795556505021"/>
      </right>
      <top style="hair">
        <color theme="0" tint="-0.14996795556505021"/>
      </top>
      <bottom style="hair">
        <color theme="0" tint="-0.14996795556505021"/>
      </bottom>
      <diagonal/>
    </border>
    <border>
      <left/>
      <right style="thin">
        <color theme="0" tint="-0.14993743705557422"/>
      </right>
      <top style="thin">
        <color theme="0" tint="-0.14996795556505021"/>
      </top>
      <bottom style="thin">
        <color theme="0" tint="-0.14996795556505021"/>
      </bottom>
      <diagonal/>
    </border>
    <border>
      <left style="hair">
        <color theme="0" tint="-0.34998626667073579"/>
      </left>
      <right/>
      <top/>
      <bottom/>
      <diagonal/>
    </border>
    <border>
      <left style="thin">
        <color indexed="22"/>
      </left>
      <right style="thin">
        <color indexed="22"/>
      </right>
      <top style="thin">
        <color indexed="22"/>
      </top>
      <bottom style="thin">
        <color indexed="22"/>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xf numFmtId="0" fontId="17" fillId="0" borderId="0" applyNumberFormat="0" applyFill="0" applyBorder="0" applyAlignment="0" applyProtection="0">
      <alignment vertical="top"/>
      <protection locked="0"/>
    </xf>
    <xf numFmtId="0" fontId="14" fillId="0" borderId="0">
      <alignment vertical="center"/>
    </xf>
  </cellStyleXfs>
  <cellXfs count="324">
    <xf numFmtId="0" fontId="0" fillId="0" borderId="0" xfId="0"/>
    <xf numFmtId="14" fontId="0" fillId="0" borderId="0" xfId="0" applyNumberFormat="1"/>
    <xf numFmtId="0" fontId="19" fillId="0" borderId="0" xfId="0" applyFont="1"/>
    <xf numFmtId="0" fontId="20" fillId="0" borderId="0" xfId="0" applyFont="1" applyAlignment="1">
      <alignment horizontal="center"/>
    </xf>
    <xf numFmtId="0" fontId="0" fillId="0" borderId="1" xfId="0" applyBorder="1"/>
    <xf numFmtId="0" fontId="19" fillId="0" borderId="1" xfId="0" applyFont="1" applyBorder="1"/>
    <xf numFmtId="0" fontId="21" fillId="0" borderId="0" xfId="0" applyFont="1" applyAlignment="1">
      <alignment horizontal="left"/>
    </xf>
    <xf numFmtId="0" fontId="22" fillId="0" borderId="0" xfId="0" applyFont="1" applyAlignment="1">
      <alignment horizontal="center"/>
    </xf>
    <xf numFmtId="0" fontId="18" fillId="0" borderId="0" xfId="0" applyFont="1"/>
    <xf numFmtId="0" fontId="19" fillId="0" borderId="0" xfId="0" applyFont="1" applyAlignment="1">
      <alignment vertical="center" wrapText="1"/>
    </xf>
    <xf numFmtId="164" fontId="0" fillId="0" borderId="2" xfId="0" applyNumberFormat="1" applyBorder="1"/>
    <xf numFmtId="164" fontId="18" fillId="0" borderId="2" xfId="0" applyNumberFormat="1" applyFont="1" applyBorder="1"/>
    <xf numFmtId="0" fontId="0" fillId="0" borderId="25" xfId="0" applyBorder="1"/>
    <xf numFmtId="14" fontId="0" fillId="0" borderId="26" xfId="0" applyNumberFormat="1" applyBorder="1"/>
    <xf numFmtId="0" fontId="0" fillId="0" borderId="27" xfId="0" applyBorder="1"/>
    <xf numFmtId="164" fontId="0" fillId="0" borderId="28" xfId="0" applyNumberFormat="1" applyBorder="1"/>
    <xf numFmtId="0" fontId="0" fillId="0" borderId="26" xfId="0" applyBorder="1"/>
    <xf numFmtId="0" fontId="0" fillId="0" borderId="29" xfId="0" applyBorder="1"/>
    <xf numFmtId="0" fontId="0" fillId="0" borderId="30" xfId="0" applyBorder="1"/>
    <xf numFmtId="164" fontId="0" fillId="0" borderId="31" xfId="0" applyNumberFormat="1" applyBorder="1"/>
    <xf numFmtId="0" fontId="19" fillId="0" borderId="0" xfId="0" applyFont="1" applyAlignment="1">
      <alignment vertical="top"/>
    </xf>
    <xf numFmtId="164" fontId="0" fillId="0" borderId="32" xfId="0" applyNumberFormat="1" applyBorder="1"/>
    <xf numFmtId="0" fontId="18" fillId="0" borderId="25" xfId="0" applyFont="1" applyBorder="1" applyAlignment="1">
      <alignment horizontal="center"/>
    </xf>
    <xf numFmtId="0" fontId="18" fillId="0" borderId="33" xfId="0" applyFont="1" applyBorder="1" applyAlignment="1">
      <alignment horizontal="center"/>
    </xf>
    <xf numFmtId="0" fontId="18" fillId="0" borderId="34" xfId="0" applyFont="1" applyBorder="1" applyAlignment="1">
      <alignment horizontal="center"/>
    </xf>
    <xf numFmtId="164" fontId="18" fillId="0" borderId="2" xfId="0" applyNumberFormat="1" applyFont="1" applyBorder="1" applyAlignment="1">
      <alignment horizontal="center"/>
    </xf>
    <xf numFmtId="0" fontId="23" fillId="0" borderId="0" xfId="0" applyFont="1"/>
    <xf numFmtId="2" fontId="0" fillId="0" borderId="27" xfId="0" applyNumberFormat="1" applyBorder="1"/>
    <xf numFmtId="0" fontId="18" fillId="0" borderId="35"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2" xfId="0" applyFont="1" applyBorder="1" applyAlignment="1">
      <alignment horizontal="center"/>
    </xf>
    <xf numFmtId="14" fontId="0" fillId="0" borderId="27" xfId="0" applyNumberFormat="1" applyBorder="1" applyAlignment="1">
      <alignment horizontal="center"/>
    </xf>
    <xf numFmtId="1" fontId="0" fillId="0" borderId="27" xfId="0" applyNumberFormat="1" applyBorder="1"/>
    <xf numFmtId="14" fontId="0" fillId="0" borderId="30" xfId="0" applyNumberFormat="1" applyBorder="1" applyAlignment="1">
      <alignment horizontal="center"/>
    </xf>
    <xf numFmtId="1" fontId="0" fillId="0" borderId="30" xfId="0" applyNumberFormat="1" applyBorder="1"/>
    <xf numFmtId="14" fontId="0" fillId="0" borderId="38" xfId="0" applyNumberFormat="1" applyBorder="1" applyAlignment="1">
      <alignment horizontal="center"/>
    </xf>
    <xf numFmtId="0" fontId="0" fillId="0" borderId="38" xfId="0" applyBorder="1"/>
    <xf numFmtId="1" fontId="0" fillId="0" borderId="38" xfId="0" applyNumberFormat="1" applyBorder="1"/>
    <xf numFmtId="0" fontId="0" fillId="0" borderId="35" xfId="0" applyBorder="1"/>
    <xf numFmtId="14" fontId="18" fillId="0" borderId="36" xfId="0" applyNumberFormat="1" applyFont="1" applyBorder="1" applyAlignment="1">
      <alignment horizontal="center"/>
    </xf>
    <xf numFmtId="0" fontId="0" fillId="0" borderId="35" xfId="0" applyBorder="1" applyAlignment="1">
      <alignment horizontal="right"/>
    </xf>
    <xf numFmtId="14" fontId="0" fillId="0" borderId="37" xfId="0" applyNumberFormat="1" applyBorder="1" applyAlignment="1">
      <alignment horizontal="center"/>
    </xf>
    <xf numFmtId="0" fontId="21" fillId="0" borderId="0" xfId="0" applyFont="1" applyAlignment="1">
      <alignment horizontal="center"/>
    </xf>
    <xf numFmtId="164" fontId="0" fillId="2" borderId="34" xfId="0" applyNumberFormat="1" applyFill="1" applyBorder="1" applyProtection="1">
      <protection locked="0"/>
    </xf>
    <xf numFmtId="164" fontId="0" fillId="2" borderId="28" xfId="0" applyNumberFormat="1" applyFill="1" applyBorder="1" applyProtection="1">
      <protection locked="0"/>
    </xf>
    <xf numFmtId="164" fontId="0" fillId="2" borderId="31" xfId="0" applyNumberFormat="1" applyFill="1" applyBorder="1" applyProtection="1">
      <protection locked="0"/>
    </xf>
    <xf numFmtId="0" fontId="23" fillId="2" borderId="39" xfId="0" applyFont="1" applyFill="1" applyBorder="1" applyAlignment="1" applyProtection="1">
      <alignment horizontal="left" vertical="center" wrapText="1"/>
      <protection locked="0"/>
    </xf>
    <xf numFmtId="0" fontId="19" fillId="0" borderId="0" xfId="0" applyFont="1" applyAlignment="1">
      <alignment horizontal="left"/>
    </xf>
    <xf numFmtId="0" fontId="19" fillId="2" borderId="0" xfId="0" applyFont="1" applyFill="1" applyAlignment="1" applyProtection="1">
      <alignment horizontal="left"/>
      <protection locked="0"/>
    </xf>
    <xf numFmtId="0" fontId="19" fillId="0" borderId="0" xfId="0" applyFont="1" applyAlignment="1" applyProtection="1">
      <alignment horizontal="left"/>
      <protection locked="0"/>
    </xf>
    <xf numFmtId="0" fontId="19" fillId="0" borderId="3" xfId="0" applyFont="1" applyBorder="1" applyAlignment="1">
      <alignment horizontal="left"/>
    </xf>
    <xf numFmtId="0" fontId="19" fillId="0" borderId="1" xfId="0" applyFont="1" applyBorder="1" applyAlignment="1">
      <alignment horizontal="left"/>
    </xf>
    <xf numFmtId="0" fontId="0" fillId="0" borderId="40" xfId="0" applyBorder="1"/>
    <xf numFmtId="0" fontId="24" fillId="0" borderId="0" xfId="0" applyFont="1" applyAlignment="1">
      <alignment horizontal="center"/>
    </xf>
    <xf numFmtId="2" fontId="0" fillId="0" borderId="0" xfId="0" applyNumberFormat="1"/>
    <xf numFmtId="0" fontId="0" fillId="0" borderId="0" xfId="0" applyAlignment="1">
      <alignment vertical="top" wrapText="1"/>
    </xf>
    <xf numFmtId="0" fontId="0" fillId="0" borderId="0" xfId="0" applyAlignment="1">
      <alignment vertical="top"/>
    </xf>
    <xf numFmtId="0" fontId="4" fillId="0" borderId="1" xfId="0" applyFont="1" applyBorder="1" applyAlignment="1">
      <alignment horizontal="left"/>
    </xf>
    <xf numFmtId="0" fontId="0" fillId="0" borderId="27" xfId="0" applyBorder="1" applyAlignment="1">
      <alignment horizontal="center"/>
    </xf>
    <xf numFmtId="0" fontId="0" fillId="0" borderId="30" xfId="0" applyBorder="1" applyAlignment="1">
      <alignment horizontal="center"/>
    </xf>
    <xf numFmtId="0" fontId="0" fillId="0" borderId="41" xfId="0" applyBorder="1" applyAlignment="1">
      <alignment horizontal="right"/>
    </xf>
    <xf numFmtId="0" fontId="0" fillId="0" borderId="42" xfId="0" applyBorder="1" applyAlignment="1">
      <alignment horizontal="right"/>
    </xf>
    <xf numFmtId="0" fontId="0" fillId="0" borderId="43" xfId="0" applyBorder="1" applyAlignment="1">
      <alignment horizontal="right"/>
    </xf>
    <xf numFmtId="0" fontId="25" fillId="0" borderId="0" xfId="0" applyFont="1" applyAlignment="1">
      <alignment horizontal="center" vertical="top" wrapText="1"/>
    </xf>
    <xf numFmtId="0" fontId="0" fillId="0" borderId="0" xfId="0" applyAlignment="1">
      <alignment horizontal="right" vertical="top" wrapText="1"/>
    </xf>
    <xf numFmtId="0" fontId="19" fillId="0" borderId="44" xfId="0" applyFont="1" applyBorder="1"/>
    <xf numFmtId="0" fontId="19" fillId="2" borderId="45" xfId="0" applyFont="1" applyFill="1" applyBorder="1" applyProtection="1">
      <protection locked="0"/>
    </xf>
    <xf numFmtId="0" fontId="23" fillId="0" borderId="46" xfId="0" applyFont="1" applyBorder="1"/>
    <xf numFmtId="0" fontId="19" fillId="0" borderId="47" xfId="0" applyFont="1" applyBorder="1"/>
    <xf numFmtId="0" fontId="23" fillId="2" borderId="45" xfId="0" applyFont="1" applyFill="1" applyBorder="1" applyProtection="1">
      <protection locked="0"/>
    </xf>
    <xf numFmtId="0" fontId="23" fillId="0" borderId="48" xfId="0" applyFont="1" applyBorder="1"/>
    <xf numFmtId="0" fontId="19" fillId="0" borderId="48" xfId="0" applyFont="1" applyBorder="1"/>
    <xf numFmtId="0" fontId="23" fillId="2" borderId="49" xfId="0" applyFont="1" applyFill="1" applyBorder="1" applyProtection="1">
      <protection locked="0"/>
    </xf>
    <xf numFmtId="0" fontId="19" fillId="0" borderId="50" xfId="0" applyFont="1" applyBorder="1"/>
    <xf numFmtId="0" fontId="23" fillId="2" borderId="51" xfId="0" applyFont="1" applyFill="1" applyBorder="1" applyProtection="1">
      <protection locked="0"/>
    </xf>
    <xf numFmtId="0" fontId="19" fillId="2" borderId="52" xfId="0" applyFont="1" applyFill="1" applyBorder="1" applyProtection="1">
      <protection locked="0"/>
    </xf>
    <xf numFmtId="0" fontId="23" fillId="2" borderId="53" xfId="0" applyFont="1" applyFill="1" applyBorder="1" applyAlignment="1" applyProtection="1">
      <alignment horizontal="center" vertical="center" wrapText="1"/>
      <protection locked="0"/>
    </xf>
    <xf numFmtId="0" fontId="19" fillId="0" borderId="44" xfId="0" applyFont="1" applyBorder="1" applyAlignment="1">
      <alignment vertical="center"/>
    </xf>
    <xf numFmtId="0" fontId="19" fillId="3" borderId="54" xfId="0" applyFont="1" applyFill="1" applyBorder="1" applyAlignment="1">
      <alignment vertical="center"/>
    </xf>
    <xf numFmtId="0" fontId="23" fillId="2" borderId="49" xfId="0" applyFont="1" applyFill="1" applyBorder="1" applyAlignment="1" applyProtection="1">
      <alignment vertical="center" wrapText="1"/>
      <protection locked="0"/>
    </xf>
    <xf numFmtId="0" fontId="19" fillId="0" borderId="50" xfId="0" applyFont="1" applyBorder="1" applyAlignment="1">
      <alignment horizontal="left" vertical="center" wrapText="1"/>
    </xf>
    <xf numFmtId="0" fontId="23" fillId="2" borderId="55" xfId="0" applyFont="1" applyFill="1" applyBorder="1" applyAlignment="1" applyProtection="1">
      <alignment vertical="center" wrapText="1"/>
      <protection locked="0"/>
    </xf>
    <xf numFmtId="0" fontId="19" fillId="0" borderId="47" xfId="0" applyFont="1" applyBorder="1" applyAlignment="1">
      <alignment horizontal="left" vertical="center" wrapText="1"/>
    </xf>
    <xf numFmtId="0" fontId="23" fillId="2" borderId="56" xfId="0" applyFont="1" applyFill="1" applyBorder="1" applyAlignment="1" applyProtection="1">
      <alignment vertical="center" wrapText="1"/>
      <protection locked="0"/>
    </xf>
    <xf numFmtId="14" fontId="23" fillId="2" borderId="54" xfId="0" applyNumberFormat="1" applyFont="1" applyFill="1" applyBorder="1" applyProtection="1">
      <protection locked="0"/>
    </xf>
    <xf numFmtId="0" fontId="26" fillId="0" borderId="0" xfId="0" applyFont="1"/>
    <xf numFmtId="0" fontId="19" fillId="0" borderId="46" xfId="0" applyFont="1" applyBorder="1" applyAlignment="1">
      <alignment horizontal="right"/>
    </xf>
    <xf numFmtId="0" fontId="19" fillId="0" borderId="46" xfId="0" applyFont="1" applyBorder="1"/>
    <xf numFmtId="0" fontId="26" fillId="0" borderId="0" xfId="0" applyFont="1" applyAlignment="1">
      <alignment horizontal="left" vertical="center" wrapText="1"/>
    </xf>
    <xf numFmtId="0" fontId="23" fillId="2" borderId="55" xfId="0" applyFont="1" applyFill="1" applyBorder="1" applyAlignment="1" applyProtection="1">
      <alignment shrinkToFit="1"/>
      <protection locked="0"/>
    </xf>
    <xf numFmtId="0" fontId="0" fillId="0" borderId="0" xfId="0" applyAlignment="1">
      <alignment horizontal="left" vertical="top" wrapText="1"/>
    </xf>
    <xf numFmtId="0" fontId="27" fillId="0" borderId="0" xfId="0" applyFont="1" applyAlignment="1">
      <alignment horizontal="center" vertical="top"/>
    </xf>
    <xf numFmtId="0" fontId="0" fillId="0" borderId="0" xfId="0" applyAlignment="1">
      <alignment horizontal="left" vertical="top" wrapText="1" indent="1"/>
    </xf>
    <xf numFmtId="0" fontId="28" fillId="0" borderId="57" xfId="0" applyFont="1" applyBorder="1"/>
    <xf numFmtId="0" fontId="29" fillId="0" borderId="58" xfId="0" applyFont="1" applyBorder="1"/>
    <xf numFmtId="0" fontId="29" fillId="0" borderId="59" xfId="0" applyFont="1" applyBorder="1"/>
    <xf numFmtId="0" fontId="30" fillId="0" borderId="60" xfId="0" applyFont="1" applyBorder="1"/>
    <xf numFmtId="0" fontId="18" fillId="0" borderId="4" xfId="0" applyFont="1" applyBorder="1" applyAlignment="1">
      <alignment vertical="top"/>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49" fontId="0" fillId="0" borderId="7" xfId="0" applyNumberFormat="1" applyBorder="1" applyAlignment="1">
      <alignment horizontal="left" vertical="top" wrapText="1" indent="5"/>
    </xf>
    <xf numFmtId="0" fontId="0" fillId="0" borderId="8" xfId="0" applyBorder="1" applyAlignment="1">
      <alignment vertical="top" wrapText="1"/>
    </xf>
    <xf numFmtId="49" fontId="0" fillId="0" borderId="9" xfId="0" applyNumberFormat="1" applyBorder="1" applyAlignment="1">
      <alignment horizontal="left" vertical="top" wrapText="1" indent="5"/>
    </xf>
    <xf numFmtId="0" fontId="0" fillId="0" borderId="40" xfId="0" applyBorder="1" applyAlignment="1">
      <alignment horizontal="right"/>
    </xf>
    <xf numFmtId="0" fontId="18" fillId="0" borderId="0" xfId="0" applyFont="1" applyAlignment="1">
      <alignment horizontal="center"/>
    </xf>
    <xf numFmtId="0" fontId="23" fillId="0" borderId="46" xfId="0" applyFont="1" applyBorder="1" applyAlignment="1">
      <alignment horizontal="left"/>
    </xf>
    <xf numFmtId="0" fontId="23" fillId="0" borderId="48" xfId="0" applyFont="1" applyBorder="1" applyAlignment="1">
      <alignment horizontal="left"/>
    </xf>
    <xf numFmtId="0" fontId="18" fillId="0" borderId="61" xfId="0" applyFont="1" applyBorder="1"/>
    <xf numFmtId="0" fontId="18" fillId="0" borderId="62" xfId="0" applyFont="1" applyBorder="1"/>
    <xf numFmtId="8" fontId="0" fillId="2" borderId="63" xfId="0" applyNumberFormat="1" applyFill="1" applyBorder="1" applyProtection="1">
      <protection locked="0"/>
    </xf>
    <xf numFmtId="14" fontId="0" fillId="2" borderId="64" xfId="0" applyNumberFormat="1" applyFill="1" applyBorder="1" applyProtection="1">
      <protection locked="0"/>
    </xf>
    <xf numFmtId="8" fontId="0" fillId="2" borderId="65" xfId="0" applyNumberFormat="1" applyFill="1" applyBorder="1" applyProtection="1">
      <protection locked="0"/>
    </xf>
    <xf numFmtId="14" fontId="0" fillId="2" borderId="66" xfId="0" applyNumberFormat="1" applyFill="1" applyBorder="1" applyProtection="1">
      <protection locked="0"/>
    </xf>
    <xf numFmtId="164" fontId="0" fillId="0" borderId="0" xfId="0" applyNumberFormat="1"/>
    <xf numFmtId="164" fontId="0" fillId="2" borderId="67" xfId="0" applyNumberFormat="1" applyFill="1" applyBorder="1" applyAlignment="1" applyProtection="1">
      <alignment horizontal="right"/>
      <protection locked="0"/>
    </xf>
    <xf numFmtId="0" fontId="0" fillId="2" borderId="67" xfId="0" applyFill="1" applyBorder="1" applyAlignment="1" applyProtection="1">
      <alignment horizontal="center"/>
      <protection locked="0"/>
    </xf>
    <xf numFmtId="0" fontId="31" fillId="0" borderId="0" xfId="0" applyFont="1"/>
    <xf numFmtId="0" fontId="1" fillId="0" borderId="0" xfId="0" applyFont="1" applyAlignment="1">
      <alignment vertical="top"/>
    </xf>
    <xf numFmtId="0" fontId="32" fillId="0" borderId="0" xfId="0" applyFont="1"/>
    <xf numFmtId="164" fontId="0" fillId="0" borderId="40" xfId="0" applyNumberFormat="1" applyBorder="1"/>
    <xf numFmtId="0" fontId="0" fillId="2" borderId="68" xfId="0" applyFill="1" applyBorder="1"/>
    <xf numFmtId="0" fontId="0" fillId="2" borderId="26" xfId="0" applyFill="1" applyBorder="1"/>
    <xf numFmtId="0" fontId="0" fillId="2" borderId="29" xfId="0" applyFill="1" applyBorder="1"/>
    <xf numFmtId="0" fontId="0" fillId="2" borderId="38" xfId="0" applyFill="1" applyBorder="1"/>
    <xf numFmtId="0" fontId="0" fillId="2" borderId="27" xfId="0" applyFill="1" applyBorder="1"/>
    <xf numFmtId="0" fontId="0" fillId="2" borderId="30" xfId="0" applyFill="1" applyBorder="1"/>
    <xf numFmtId="14" fontId="0" fillId="2" borderId="37" xfId="0" applyNumberFormat="1" applyFill="1" applyBorder="1" applyAlignment="1">
      <alignment horizontal="center"/>
    </xf>
    <xf numFmtId="14" fontId="0" fillId="2" borderId="0" xfId="0" applyNumberFormat="1" applyFill="1"/>
    <xf numFmtId="0" fontId="0" fillId="2" borderId="25" xfId="0" applyFill="1" applyBorder="1"/>
    <xf numFmtId="2" fontId="0" fillId="2" borderId="33" xfId="0" applyNumberFormat="1" applyFill="1" applyBorder="1"/>
    <xf numFmtId="2" fontId="0" fillId="2" borderId="27" xfId="0" applyNumberFormat="1" applyFill="1" applyBorder="1"/>
    <xf numFmtId="2" fontId="0" fillId="2" borderId="63" xfId="0" applyNumberFormat="1" applyFill="1" applyBorder="1"/>
    <xf numFmtId="2" fontId="0" fillId="2" borderId="69" xfId="0" applyNumberFormat="1" applyFill="1" applyBorder="1"/>
    <xf numFmtId="14" fontId="0" fillId="0" borderId="61" xfId="0" applyNumberFormat="1" applyBorder="1" applyAlignment="1">
      <alignment horizontal="center"/>
    </xf>
    <xf numFmtId="0" fontId="0" fillId="0" borderId="61" xfId="0" applyBorder="1"/>
    <xf numFmtId="1" fontId="0" fillId="0" borderId="61" xfId="0" applyNumberFormat="1" applyBorder="1"/>
    <xf numFmtId="14" fontId="0" fillId="0" borderId="63" xfId="0" applyNumberFormat="1" applyBorder="1" applyAlignment="1">
      <alignment horizontal="center"/>
    </xf>
    <xf numFmtId="0" fontId="0" fillId="0" borderId="63" xfId="0" applyBorder="1"/>
    <xf numFmtId="1" fontId="0" fillId="0" borderId="63" xfId="0" applyNumberFormat="1" applyBorder="1"/>
    <xf numFmtId="14" fontId="0" fillId="0" borderId="65" xfId="0" applyNumberFormat="1" applyBorder="1" applyAlignment="1">
      <alignment horizontal="center"/>
    </xf>
    <xf numFmtId="0" fontId="0" fillId="0" borderId="65" xfId="0" applyBorder="1"/>
    <xf numFmtId="1" fontId="0" fillId="0" borderId="65" xfId="0" applyNumberFormat="1" applyBorder="1"/>
    <xf numFmtId="0" fontId="0" fillId="2" borderId="70" xfId="0" applyFill="1" applyBorder="1"/>
    <xf numFmtId="0" fontId="0" fillId="2" borderId="71" xfId="0" applyFill="1" applyBorder="1"/>
    <xf numFmtId="0" fontId="0" fillId="2" borderId="72" xfId="0" applyFill="1" applyBorder="1"/>
    <xf numFmtId="0" fontId="0" fillId="2" borderId="61" xfId="0" applyFill="1" applyBorder="1"/>
    <xf numFmtId="0" fontId="0" fillId="2" borderId="63" xfId="0" applyFill="1" applyBorder="1"/>
    <xf numFmtId="0" fontId="0" fillId="2" borderId="65" xfId="0" applyFill="1" applyBorder="1"/>
    <xf numFmtId="164" fontId="0" fillId="2" borderId="62" xfId="0" applyNumberFormat="1" applyFill="1" applyBorder="1"/>
    <xf numFmtId="164" fontId="0" fillId="2" borderId="64" xfId="0" applyNumberFormat="1" applyFill="1" applyBorder="1"/>
    <xf numFmtId="164" fontId="0" fillId="2" borderId="66" xfId="0" applyNumberFormat="1" applyFill="1" applyBorder="1"/>
    <xf numFmtId="2" fontId="0" fillId="2" borderId="28" xfId="0" applyNumberFormat="1" applyFill="1" applyBorder="1"/>
    <xf numFmtId="2" fontId="0" fillId="2" borderId="34" xfId="0" applyNumberFormat="1" applyFill="1" applyBorder="1"/>
    <xf numFmtId="2" fontId="0" fillId="2" borderId="31" xfId="0" applyNumberFormat="1" applyFill="1" applyBorder="1"/>
    <xf numFmtId="0" fontId="25" fillId="0" borderId="73" xfId="0" applyFont="1" applyBorder="1" applyAlignment="1">
      <alignment horizontal="center" vertical="top" wrapText="1"/>
    </xf>
    <xf numFmtId="0" fontId="0" fillId="0" borderId="0" xfId="0" applyAlignment="1">
      <alignment horizontal="left" vertical="center" indent="1"/>
    </xf>
    <xf numFmtId="0" fontId="12" fillId="0" borderId="0" xfId="0" applyFont="1" applyAlignment="1">
      <alignment vertical="top"/>
    </xf>
    <xf numFmtId="10" fontId="0" fillId="2" borderId="34" xfId="0" applyNumberFormat="1" applyFill="1" applyBorder="1"/>
    <xf numFmtId="0" fontId="0" fillId="0" borderId="25" xfId="0" quotePrefix="1" applyBorder="1"/>
    <xf numFmtId="0" fontId="19" fillId="0" borderId="11" xfId="0" applyFont="1" applyBorder="1"/>
    <xf numFmtId="0" fontId="0" fillId="0" borderId="11" xfId="0" applyBorder="1"/>
    <xf numFmtId="0" fontId="0" fillId="0" borderId="3" xfId="0" applyBorder="1"/>
    <xf numFmtId="0" fontId="19" fillId="0" borderId="0" xfId="0" applyFont="1" applyAlignment="1">
      <alignment horizontal="right"/>
    </xf>
    <xf numFmtId="0" fontId="19" fillId="0" borderId="74" xfId="0" applyFont="1" applyBorder="1"/>
    <xf numFmtId="0" fontId="29" fillId="0" borderId="75" xfId="0" applyFont="1" applyBorder="1"/>
    <xf numFmtId="0" fontId="23" fillId="2" borderId="76" xfId="0" applyFont="1" applyFill="1" applyBorder="1" applyProtection="1">
      <protection locked="0"/>
    </xf>
    <xf numFmtId="0" fontId="23" fillId="2" borderId="77" xfId="0" applyFont="1" applyFill="1" applyBorder="1" applyProtection="1">
      <protection locked="0"/>
    </xf>
    <xf numFmtId="0" fontId="0" fillId="0" borderId="70" xfId="0" applyBorder="1"/>
    <xf numFmtId="0" fontId="0" fillId="0" borderId="71" xfId="0" applyBorder="1"/>
    <xf numFmtId="10" fontId="0" fillId="2" borderId="64" xfId="0" applyNumberFormat="1" applyFill="1" applyBorder="1"/>
    <xf numFmtId="0" fontId="0" fillId="0" borderId="72" xfId="0" applyBorder="1"/>
    <xf numFmtId="2" fontId="0" fillId="2" borderId="66" xfId="0" applyNumberFormat="1" applyFill="1" applyBorder="1"/>
    <xf numFmtId="0" fontId="33" fillId="2" borderId="0" xfId="0" applyFont="1" applyFill="1"/>
    <xf numFmtId="0" fontId="3" fillId="0" borderId="0" xfId="0" applyFont="1" applyAlignment="1">
      <alignment horizontal="left" vertical="top" indent="1"/>
    </xf>
    <xf numFmtId="0" fontId="34" fillId="0" borderId="0" xfId="0" applyFont="1"/>
    <xf numFmtId="0" fontId="19" fillId="2" borderId="78" xfId="0" applyFont="1" applyFill="1" applyBorder="1" applyAlignment="1" applyProtection="1">
      <alignment vertical="center" wrapText="1"/>
      <protection locked="0"/>
    </xf>
    <xf numFmtId="0" fontId="21" fillId="0" borderId="0" xfId="0" applyFont="1" applyAlignment="1">
      <alignment horizontal="right"/>
    </xf>
    <xf numFmtId="0" fontId="18" fillId="0" borderId="70" xfId="0" applyFont="1" applyBorder="1"/>
    <xf numFmtId="8" fontId="0" fillId="2" borderId="71" xfId="0" applyNumberFormat="1" applyFill="1" applyBorder="1" applyProtection="1">
      <protection locked="0"/>
    </xf>
    <xf numFmtId="8" fontId="0" fillId="2" borderId="72" xfId="0" applyNumberFormat="1" applyFill="1" applyBorder="1" applyProtection="1">
      <protection locked="0"/>
    </xf>
    <xf numFmtId="0" fontId="35" fillId="0" borderId="1" xfId="0" applyFont="1" applyBorder="1" applyAlignment="1">
      <alignment horizontal="left"/>
    </xf>
    <xf numFmtId="0" fontId="12" fillId="0" borderId="11" xfId="0" applyFont="1" applyBorder="1" applyAlignment="1">
      <alignment vertical="top"/>
    </xf>
    <xf numFmtId="0" fontId="19" fillId="0" borderId="11" xfId="0" applyFont="1" applyBorder="1" applyAlignment="1">
      <alignment vertical="top"/>
    </xf>
    <xf numFmtId="0" fontId="0" fillId="0" borderId="0" xfId="0" applyAlignment="1">
      <alignment horizontal="right"/>
    </xf>
    <xf numFmtId="0" fontId="0" fillId="0" borderId="79" xfId="0" applyBorder="1" applyAlignment="1">
      <alignment horizontal="right"/>
    </xf>
    <xf numFmtId="0" fontId="0" fillId="2" borderId="80" xfId="0" applyFill="1" applyBorder="1" applyProtection="1">
      <protection locked="0"/>
    </xf>
    <xf numFmtId="0" fontId="0" fillId="2" borderId="81" xfId="0" applyFill="1" applyBorder="1" applyProtection="1">
      <protection locked="0"/>
    </xf>
    <xf numFmtId="164" fontId="0" fillId="2" borderId="32" xfId="0" applyNumberFormat="1" applyFill="1" applyBorder="1" applyProtection="1">
      <protection locked="0"/>
    </xf>
    <xf numFmtId="164" fontId="18" fillId="0" borderId="0" xfId="0" applyNumberFormat="1" applyFont="1"/>
    <xf numFmtId="0" fontId="0" fillId="2" borderId="40" xfId="0" applyFill="1" applyBorder="1" applyAlignment="1" applyProtection="1">
      <alignment horizontal="left"/>
      <protection locked="0"/>
    </xf>
    <xf numFmtId="0" fontId="0" fillId="0" borderId="0" xfId="0" applyAlignment="1">
      <alignment horizontal="left"/>
    </xf>
    <xf numFmtId="0" fontId="0" fillId="2" borderId="82" xfId="0" applyFill="1" applyBorder="1" applyProtection="1">
      <protection locked="0"/>
    </xf>
    <xf numFmtId="0" fontId="0" fillId="2" borderId="83" xfId="0" applyFill="1" applyBorder="1" applyAlignment="1" applyProtection="1">
      <alignment horizontal="left" vertical="top"/>
      <protection locked="0"/>
    </xf>
    <xf numFmtId="0" fontId="15" fillId="0" borderId="0" xfId="0" applyFont="1" applyAlignment="1">
      <alignment vertical="top"/>
    </xf>
    <xf numFmtId="0" fontId="0" fillId="0" borderId="84" xfId="0" applyBorder="1" applyAlignment="1">
      <alignment horizontal="center"/>
    </xf>
    <xf numFmtId="164" fontId="18" fillId="0" borderId="10" xfId="0" applyNumberFormat="1" applyFont="1" applyBorder="1" applyAlignment="1">
      <alignment horizontal="center"/>
    </xf>
    <xf numFmtId="0" fontId="0" fillId="2" borderId="2" xfId="0" applyFill="1" applyBorder="1"/>
    <xf numFmtId="2" fontId="0" fillId="2" borderId="2" xfId="0" applyNumberFormat="1" applyFill="1" applyBorder="1"/>
    <xf numFmtId="2" fontId="0" fillId="0" borderId="33" xfId="0" applyNumberFormat="1" applyBorder="1"/>
    <xf numFmtId="2" fontId="0" fillId="0" borderId="63" xfId="0" applyNumberFormat="1" applyBorder="1"/>
    <xf numFmtId="2" fontId="0" fillId="0" borderId="69" xfId="0" applyNumberFormat="1" applyBorder="1"/>
    <xf numFmtId="2" fontId="0" fillId="0" borderId="85" xfId="0" applyNumberFormat="1" applyBorder="1"/>
    <xf numFmtId="0" fontId="0" fillId="0" borderId="86" xfId="0" applyBorder="1" applyAlignment="1">
      <alignment horizontal="left"/>
    </xf>
    <xf numFmtId="0" fontId="18" fillId="0" borderId="87" xfId="0" applyFont="1" applyBorder="1" applyAlignment="1">
      <alignment horizontal="left"/>
    </xf>
    <xf numFmtId="0" fontId="0" fillId="0" borderId="88" xfId="0" applyBorder="1" applyAlignment="1">
      <alignment horizontal="left"/>
    </xf>
    <xf numFmtId="0" fontId="0" fillId="0" borderId="0" xfId="0" applyAlignment="1">
      <alignment horizontal="left" indent="1"/>
    </xf>
    <xf numFmtId="0" fontId="19" fillId="0" borderId="89" xfId="0" applyFont="1" applyBorder="1" applyProtection="1">
      <protection locked="0"/>
    </xf>
    <xf numFmtId="0" fontId="23" fillId="0" borderId="90" xfId="0" applyFont="1" applyBorder="1"/>
    <xf numFmtId="0" fontId="23" fillId="0" borderId="91" xfId="0" applyFont="1" applyBorder="1"/>
    <xf numFmtId="0" fontId="23" fillId="2" borderId="92" xfId="0" applyFont="1" applyFill="1" applyBorder="1" applyProtection="1">
      <protection locked="0"/>
    </xf>
    <xf numFmtId="0" fontId="23" fillId="2" borderId="93" xfId="0" applyFont="1" applyFill="1" applyBorder="1" applyProtection="1">
      <protection locked="0"/>
    </xf>
    <xf numFmtId="0" fontId="28" fillId="0" borderId="50" xfId="0" applyFont="1" applyBorder="1"/>
    <xf numFmtId="0" fontId="23" fillId="2" borderId="94" xfId="0" applyFont="1" applyFill="1" applyBorder="1" applyProtection="1">
      <protection locked="0"/>
    </xf>
    <xf numFmtId="0" fontId="30" fillId="0" borderId="95" xfId="0" applyFont="1" applyBorder="1"/>
    <xf numFmtId="0" fontId="19" fillId="2" borderId="96" xfId="0" applyFont="1" applyFill="1" applyBorder="1" applyProtection="1">
      <protection locked="0"/>
    </xf>
    <xf numFmtId="14" fontId="23" fillId="2" borderId="97" xfId="0" applyNumberFormat="1" applyFont="1" applyFill="1" applyBorder="1" applyAlignment="1" applyProtection="1">
      <alignment horizontal="left"/>
      <protection locked="0"/>
    </xf>
    <xf numFmtId="0" fontId="23" fillId="2" borderId="97" xfId="0" applyFont="1" applyFill="1" applyBorder="1" applyAlignment="1" applyProtection="1">
      <alignment horizontal="left" vertical="center"/>
      <protection locked="0"/>
    </xf>
    <xf numFmtId="0" fontId="23" fillId="2" borderId="98" xfId="0" applyFont="1" applyFill="1" applyBorder="1" applyAlignment="1" applyProtection="1">
      <alignment horizontal="left" vertical="center"/>
      <protection locked="0"/>
    </xf>
    <xf numFmtId="2" fontId="16" fillId="2" borderId="33" xfId="0" applyNumberFormat="1" applyFont="1" applyFill="1" applyBorder="1"/>
    <xf numFmtId="2" fontId="16" fillId="2" borderId="27" xfId="0" applyNumberFormat="1" applyFont="1" applyFill="1" applyBorder="1"/>
    <xf numFmtId="2" fontId="33" fillId="2" borderId="27" xfId="0" applyNumberFormat="1" applyFont="1" applyFill="1" applyBorder="1"/>
    <xf numFmtId="165" fontId="46" fillId="0" borderId="120" xfId="2" applyNumberFormat="1" applyFont="1" applyBorder="1" applyAlignment="1">
      <alignment horizontal="left" vertical="center"/>
    </xf>
    <xf numFmtId="14" fontId="46" fillId="4" borderId="120" xfId="2" applyNumberFormat="1" applyFont="1" applyFill="1" applyBorder="1" applyAlignment="1">
      <alignment horizontal="center" vertical="center"/>
    </xf>
    <xf numFmtId="0" fontId="47" fillId="0" borderId="120" xfId="2" applyFont="1" applyBorder="1" applyAlignment="1">
      <alignment horizontal="center" vertical="center"/>
    </xf>
    <xf numFmtId="0" fontId="18" fillId="0" borderId="121" xfId="0" applyFont="1" applyBorder="1" applyAlignment="1">
      <alignment horizontal="center" vertical="center"/>
    </xf>
    <xf numFmtId="0" fontId="18" fillId="0" borderId="122" xfId="0" applyFont="1" applyBorder="1" applyAlignment="1">
      <alignment horizontal="center" vertical="center" wrapText="1"/>
    </xf>
    <xf numFmtId="0" fontId="18" fillId="0" borderId="122" xfId="0" applyFont="1" applyBorder="1" applyAlignment="1">
      <alignment vertical="center"/>
    </xf>
    <xf numFmtId="0" fontId="18" fillId="0" borderId="122" xfId="0" applyFont="1" applyBorder="1" applyAlignment="1">
      <alignment horizontal="center" vertical="center"/>
    </xf>
    <xf numFmtId="0" fontId="18" fillId="0" borderId="123" xfId="0" applyFont="1" applyBorder="1" applyAlignment="1">
      <alignment horizontal="center" vertical="center" wrapText="1"/>
    </xf>
    <xf numFmtId="0" fontId="0" fillId="0" borderId="23" xfId="0" applyBorder="1" applyAlignment="1">
      <alignment vertical="center"/>
    </xf>
    <xf numFmtId="166" fontId="0" fillId="0" borderId="12" xfId="0" applyNumberFormat="1" applyBorder="1" applyAlignment="1">
      <alignment horizontal="right" vertical="center"/>
    </xf>
    <xf numFmtId="166" fontId="0" fillId="0" borderId="13" xfId="0" applyNumberFormat="1" applyBorder="1" applyAlignment="1">
      <alignment horizontal="right" vertical="center"/>
    </xf>
    <xf numFmtId="166" fontId="0" fillId="0" borderId="13" xfId="0" applyNumberFormat="1" applyBorder="1" applyAlignment="1">
      <alignment vertical="center"/>
    </xf>
    <xf numFmtId="166" fontId="0" fillId="0" borderId="14" xfId="0" applyNumberFormat="1" applyBorder="1" applyAlignment="1">
      <alignment vertical="center"/>
    </xf>
    <xf numFmtId="0" fontId="0" fillId="0" borderId="21" xfId="0" applyBorder="1" applyAlignment="1">
      <alignment vertical="center"/>
    </xf>
    <xf numFmtId="166" fontId="0" fillId="0" borderId="15" xfId="0" applyNumberFormat="1" applyBorder="1" applyAlignment="1">
      <alignment vertical="center"/>
    </xf>
    <xf numFmtId="166" fontId="0" fillId="0" borderId="16" xfId="0" applyNumberFormat="1" applyBorder="1" applyAlignment="1">
      <alignment horizontal="right" vertical="center"/>
    </xf>
    <xf numFmtId="166" fontId="0" fillId="0" borderId="16" xfId="0" applyNumberFormat="1" applyBorder="1" applyAlignment="1">
      <alignment vertical="center"/>
    </xf>
    <xf numFmtId="166" fontId="0" fillId="0" borderId="17" xfId="0" applyNumberFormat="1" applyBorder="1" applyAlignment="1">
      <alignment vertical="center"/>
    </xf>
    <xf numFmtId="0" fontId="18" fillId="0" borderId="21" xfId="0" applyFont="1" applyBorder="1" applyAlignment="1">
      <alignment horizontal="right" vertical="center"/>
    </xf>
    <xf numFmtId="166" fontId="18" fillId="0" borderId="15" xfId="0" applyNumberFormat="1" applyFont="1" applyBorder="1" applyAlignment="1">
      <alignment vertical="center"/>
    </xf>
    <xf numFmtId="166" fontId="18" fillId="0" borderId="16" xfId="0" applyNumberFormat="1" applyFont="1" applyBorder="1" applyAlignment="1">
      <alignment horizontal="right" vertical="center"/>
    </xf>
    <xf numFmtId="166" fontId="18" fillId="0" borderId="16" xfId="0" applyNumberFormat="1" applyFont="1" applyBorder="1" applyAlignment="1">
      <alignment vertical="center"/>
    </xf>
    <xf numFmtId="166" fontId="18" fillId="0" borderId="17" xfId="0" applyNumberFormat="1" applyFont="1" applyBorder="1" applyAlignment="1">
      <alignment vertical="center"/>
    </xf>
    <xf numFmtId="166" fontId="0" fillId="0" borderId="15" xfId="0" applyNumberFormat="1" applyBorder="1" applyAlignment="1">
      <alignment horizontal="right" vertical="center"/>
    </xf>
    <xf numFmtId="0" fontId="18" fillId="0" borderId="22" xfId="0" applyFont="1" applyBorder="1" applyAlignment="1">
      <alignment horizontal="right" vertical="center"/>
    </xf>
    <xf numFmtId="166" fontId="18" fillId="0" borderId="18" xfId="0" applyNumberFormat="1" applyFont="1" applyBorder="1" applyAlignment="1">
      <alignment vertical="center"/>
    </xf>
    <xf numFmtId="166" fontId="18" fillId="0" borderId="19" xfId="0" applyNumberFormat="1" applyFont="1" applyBorder="1" applyAlignment="1">
      <alignment vertical="center"/>
    </xf>
    <xf numFmtId="166" fontId="18" fillId="0" borderId="20" xfId="0" applyNumberFormat="1" applyFont="1" applyBorder="1" applyAlignment="1">
      <alignment vertical="center"/>
    </xf>
    <xf numFmtId="0" fontId="31" fillId="0" borderId="10" xfId="0" applyFont="1" applyBorder="1"/>
    <xf numFmtId="0" fontId="0" fillId="0" borderId="0" xfId="0" applyAlignment="1">
      <alignment vertical="center"/>
    </xf>
    <xf numFmtId="14" fontId="48" fillId="0" borderId="120" xfId="2" applyNumberFormat="1" applyFont="1" applyBorder="1" applyAlignment="1">
      <alignment horizontal="center" vertical="center"/>
    </xf>
    <xf numFmtId="0" fontId="51" fillId="0" borderId="0" xfId="0" applyFont="1" applyAlignment="1">
      <alignment vertical="top"/>
    </xf>
    <xf numFmtId="0" fontId="55" fillId="0" borderId="10" xfId="0" applyFont="1" applyBorder="1" applyAlignment="1">
      <alignment horizontal="left"/>
    </xf>
    <xf numFmtId="0" fontId="56" fillId="0" borderId="0" xfId="0" applyFont="1" applyAlignment="1">
      <alignment vertical="top" wrapText="1"/>
    </xf>
    <xf numFmtId="0" fontId="0" fillId="0" borderId="0" xfId="0" applyAlignment="1">
      <alignment horizontal="left" vertical="top" wrapText="1"/>
    </xf>
    <xf numFmtId="0" fontId="0" fillId="0" borderId="0" xfId="0" applyAlignment="1">
      <alignment horizontal="left" vertical="top" wrapText="1" indent="1"/>
    </xf>
    <xf numFmtId="0" fontId="17" fillId="0" borderId="0" xfId="1" applyAlignment="1" applyProtection="1">
      <alignment horizontal="left" vertical="top" wrapText="1"/>
    </xf>
    <xf numFmtId="0" fontId="36" fillId="0" borderId="0" xfId="0" applyFont="1" applyAlignment="1">
      <alignment horizontal="left" vertical="top" wrapText="1"/>
    </xf>
    <xf numFmtId="0" fontId="18" fillId="0" borderId="0" xfId="0" applyFont="1" applyAlignment="1">
      <alignment horizontal="left" vertical="top" wrapText="1"/>
    </xf>
    <xf numFmtId="0" fontId="0" fillId="0" borderId="0" xfId="0"/>
    <xf numFmtId="0" fontId="49" fillId="0" borderId="0" xfId="0" applyFont="1" applyAlignment="1">
      <alignment horizontal="left" wrapText="1" indent="1"/>
    </xf>
    <xf numFmtId="0" fontId="0" fillId="0" borderId="0" xfId="0" applyAlignment="1">
      <alignment horizontal="left" wrapText="1" indent="1"/>
    </xf>
    <xf numFmtId="0" fontId="18" fillId="0" borderId="0" xfId="0" applyFont="1" applyAlignment="1">
      <alignment horizontal="left"/>
    </xf>
    <xf numFmtId="0" fontId="0" fillId="0" borderId="0" xfId="0" applyAlignment="1">
      <alignment horizontal="center" vertical="top" wrapText="1"/>
    </xf>
    <xf numFmtId="0" fontId="27" fillId="0" borderId="0" xfId="0" applyFont="1" applyAlignment="1">
      <alignment horizontal="center" vertical="top" wrapText="1"/>
    </xf>
    <xf numFmtId="0" fontId="37" fillId="0" borderId="0" xfId="0" applyFont="1" applyAlignment="1">
      <alignment horizontal="center" vertical="top" wrapText="1"/>
    </xf>
    <xf numFmtId="0" fontId="19" fillId="0" borderId="3" xfId="0" applyFont="1" applyBorder="1"/>
    <xf numFmtId="0" fontId="19" fillId="0" borderId="1" xfId="0" applyFont="1" applyBorder="1"/>
    <xf numFmtId="0" fontId="19" fillId="0" borderId="24" xfId="0" applyFont="1" applyBorder="1"/>
    <xf numFmtId="0" fontId="25" fillId="0" borderId="0" xfId="0" applyFont="1" applyAlignment="1">
      <alignment horizontal="center" vertical="top" wrapText="1"/>
    </xf>
    <xf numFmtId="0" fontId="23" fillId="2" borderId="105" xfId="0" applyFont="1" applyFill="1" applyBorder="1" applyAlignment="1" applyProtection="1">
      <alignment horizontal="left" vertical="center" wrapText="1"/>
      <protection locked="0"/>
    </xf>
    <xf numFmtId="0" fontId="23" fillId="2" borderId="24" xfId="0" applyFont="1" applyFill="1" applyBorder="1" applyAlignment="1" applyProtection="1">
      <alignment horizontal="left" vertical="center" wrapText="1"/>
      <protection locked="0"/>
    </xf>
    <xf numFmtId="0" fontId="18" fillId="0" borderId="106" xfId="0" applyFont="1" applyBorder="1" applyAlignment="1">
      <alignment horizontal="left"/>
    </xf>
    <xf numFmtId="0" fontId="18" fillId="0" borderId="107" xfId="0" applyFont="1" applyBorder="1" applyAlignment="1">
      <alignment horizontal="left"/>
    </xf>
    <xf numFmtId="49" fontId="0" fillId="2" borderId="101" xfId="0" applyNumberFormat="1" applyFill="1" applyBorder="1" applyAlignment="1" applyProtection="1">
      <alignment horizontal="left"/>
      <protection locked="0"/>
    </xf>
    <xf numFmtId="49" fontId="0" fillId="2" borderId="102" xfId="0" applyNumberFormat="1" applyFill="1" applyBorder="1" applyAlignment="1" applyProtection="1">
      <alignment horizontal="left"/>
      <protection locked="0"/>
    </xf>
    <xf numFmtId="0" fontId="0" fillId="2" borderId="108" xfId="0" applyFill="1" applyBorder="1" applyProtection="1">
      <protection locked="0"/>
    </xf>
    <xf numFmtId="0" fontId="0" fillId="2" borderId="82" xfId="0" applyFill="1" applyBorder="1" applyProtection="1">
      <protection locked="0"/>
    </xf>
    <xf numFmtId="0" fontId="31" fillId="0" borderId="10" xfId="0" applyFont="1" applyBorder="1" applyAlignment="1">
      <alignment vertical="top" wrapText="1"/>
    </xf>
    <xf numFmtId="0" fontId="0" fillId="0" borderId="11" xfId="0" applyBorder="1" applyAlignment="1">
      <alignment horizontal="left"/>
    </xf>
    <xf numFmtId="0" fontId="0" fillId="2" borderId="104" xfId="0" applyFill="1" applyBorder="1" applyAlignment="1" applyProtection="1">
      <alignment horizontal="left"/>
      <protection locked="0"/>
    </xf>
    <xf numFmtId="0" fontId="0" fillId="2" borderId="40" xfId="0" applyFill="1" applyBorder="1" applyAlignment="1" applyProtection="1">
      <alignment horizontal="left"/>
      <protection locked="0"/>
    </xf>
    <xf numFmtId="0" fontId="0" fillId="0" borderId="10" xfId="0" applyBorder="1" applyAlignment="1">
      <alignment horizontal="left"/>
    </xf>
    <xf numFmtId="0" fontId="18" fillId="0" borderId="10" xfId="0" applyFont="1" applyBorder="1" applyAlignment="1">
      <alignment horizontal="center"/>
    </xf>
    <xf numFmtId="0" fontId="18" fillId="0" borderId="5" xfId="0" applyFont="1" applyBorder="1" applyAlignment="1">
      <alignment horizontal="center"/>
    </xf>
    <xf numFmtId="0" fontId="0" fillId="2" borderId="103" xfId="0" applyFill="1" applyBorder="1" applyAlignment="1" applyProtection="1">
      <alignment horizontal="left" vertical="top"/>
      <protection locked="0"/>
    </xf>
    <xf numFmtId="0" fontId="0" fillId="2" borderId="83" xfId="0" applyFill="1" applyBorder="1" applyAlignment="1" applyProtection="1">
      <alignment horizontal="left" vertical="top"/>
      <protection locked="0"/>
    </xf>
    <xf numFmtId="49" fontId="0" fillId="2" borderId="99" xfId="0" applyNumberFormat="1" applyFill="1" applyBorder="1" applyAlignment="1" applyProtection="1">
      <alignment horizontal="left"/>
      <protection locked="0"/>
    </xf>
    <xf numFmtId="49" fontId="0" fillId="2" borderId="100" xfId="0" applyNumberFormat="1" applyFill="1" applyBorder="1" applyAlignment="1" applyProtection="1">
      <alignment horizontal="left"/>
      <protection locked="0"/>
    </xf>
    <xf numFmtId="0" fontId="24" fillId="0" borderId="0" xfId="0" applyFont="1" applyAlignment="1">
      <alignment horizontal="center"/>
    </xf>
    <xf numFmtId="0" fontId="0" fillId="0" borderId="0" xfId="0" applyAlignment="1">
      <alignment horizontal="left"/>
    </xf>
    <xf numFmtId="0" fontId="38" fillId="0" borderId="0" xfId="0" applyFont="1" applyAlignment="1">
      <alignment horizontal="center"/>
    </xf>
    <xf numFmtId="0" fontId="39" fillId="0" borderId="0" xfId="0" applyFont="1" applyAlignment="1">
      <alignment horizontal="center"/>
    </xf>
    <xf numFmtId="0" fontId="40" fillId="0" borderId="0" xfId="0" applyFont="1" applyAlignment="1">
      <alignment horizontal="center"/>
    </xf>
    <xf numFmtId="14" fontId="0" fillId="0" borderId="86" xfId="0" applyNumberFormat="1" applyBorder="1" applyAlignment="1">
      <alignment horizontal="left"/>
    </xf>
    <xf numFmtId="14" fontId="0" fillId="0" borderId="109" xfId="0" applyNumberFormat="1" applyBorder="1" applyAlignment="1">
      <alignment horizontal="left"/>
    </xf>
    <xf numFmtId="14" fontId="0" fillId="0" borderId="88" xfId="0" applyNumberFormat="1" applyBorder="1" applyAlignment="1">
      <alignment horizontal="left"/>
    </xf>
    <xf numFmtId="14" fontId="0" fillId="0" borderId="110" xfId="0" applyNumberFormat="1" applyBorder="1" applyAlignment="1">
      <alignment horizontal="left"/>
    </xf>
    <xf numFmtId="0" fontId="18" fillId="0" borderId="87" xfId="0" applyFont="1" applyBorder="1" applyAlignment="1">
      <alignment horizontal="center"/>
    </xf>
    <xf numFmtId="0" fontId="18" fillId="0" borderId="111" xfId="0" applyFont="1" applyBorder="1" applyAlignment="1">
      <alignment horizontal="center"/>
    </xf>
    <xf numFmtId="0" fontId="0" fillId="2" borderId="3" xfId="0" applyFill="1" applyBorder="1" applyAlignment="1" applyProtection="1">
      <alignment horizontal="center" vertical="top" wrapText="1"/>
      <protection locked="0"/>
    </xf>
    <xf numFmtId="0" fontId="0" fillId="2" borderId="1" xfId="0" applyFill="1" applyBorder="1" applyAlignment="1" applyProtection="1">
      <alignment horizontal="center" vertical="top" wrapText="1"/>
      <protection locked="0"/>
    </xf>
    <xf numFmtId="0" fontId="31" fillId="0" borderId="0" xfId="0" applyFont="1" applyAlignment="1">
      <alignment vertical="top" wrapText="1"/>
    </xf>
    <xf numFmtId="0" fontId="43" fillId="0" borderId="46" xfId="0" applyFont="1" applyBorder="1" applyAlignment="1">
      <alignment horizontal="left" vertical="top" wrapText="1"/>
    </xf>
    <xf numFmtId="0" fontId="25" fillId="0" borderId="73" xfId="0" applyFont="1" applyBorder="1" applyAlignment="1">
      <alignment horizontal="center" vertical="top" wrapText="1"/>
    </xf>
    <xf numFmtId="0" fontId="19" fillId="0" borderId="0" xfId="0" applyFont="1" applyAlignment="1">
      <alignment horizontal="left" vertical="top" wrapText="1"/>
    </xf>
    <xf numFmtId="0" fontId="44" fillId="0" borderId="0" xfId="0" applyFont="1" applyAlignment="1">
      <alignment horizontal="center"/>
    </xf>
    <xf numFmtId="0" fontId="45" fillId="0" borderId="0" xfId="0" applyFont="1" applyAlignment="1">
      <alignment horizontal="center"/>
    </xf>
    <xf numFmtId="0" fontId="23" fillId="2" borderId="115" xfId="0" applyFont="1" applyFill="1" applyBorder="1" applyAlignment="1" applyProtection="1">
      <alignment horizontal="left"/>
      <protection locked="0"/>
    </xf>
    <xf numFmtId="0" fontId="23" fillId="2" borderId="116" xfId="0" applyFont="1" applyFill="1" applyBorder="1" applyAlignment="1" applyProtection="1">
      <alignment horizontal="left"/>
      <protection locked="0"/>
    </xf>
    <xf numFmtId="0" fontId="23" fillId="2" borderId="117" xfId="0" applyFont="1" applyFill="1" applyBorder="1" applyAlignment="1" applyProtection="1">
      <alignment horizontal="left"/>
      <protection locked="0"/>
    </xf>
    <xf numFmtId="0" fontId="19" fillId="2" borderId="112" xfId="0" applyFont="1" applyFill="1" applyBorder="1" applyAlignment="1" applyProtection="1">
      <alignment vertical="center" wrapText="1"/>
      <protection locked="0"/>
    </xf>
    <xf numFmtId="0" fontId="19" fillId="2" borderId="113" xfId="0" applyFont="1" applyFill="1" applyBorder="1" applyAlignment="1" applyProtection="1">
      <alignment vertical="center" wrapText="1"/>
      <protection locked="0"/>
    </xf>
    <xf numFmtId="0" fontId="19" fillId="2" borderId="114" xfId="0" applyFont="1" applyFill="1" applyBorder="1" applyAlignment="1" applyProtection="1">
      <alignment vertical="center" wrapText="1"/>
      <protection locked="0"/>
    </xf>
    <xf numFmtId="0" fontId="41" fillId="0" borderId="57" xfId="0" applyFont="1" applyBorder="1" applyAlignment="1">
      <alignment horizontal="left" wrapText="1"/>
    </xf>
    <xf numFmtId="0" fontId="41" fillId="0" borderId="113" xfId="0" applyFont="1" applyBorder="1" applyAlignment="1">
      <alignment horizontal="left" wrapText="1"/>
    </xf>
    <xf numFmtId="0" fontId="17" fillId="2" borderId="115" xfId="1" applyFill="1" applyBorder="1" applyAlignment="1" applyProtection="1">
      <alignment horizontal="left"/>
      <protection locked="0"/>
    </xf>
    <xf numFmtId="0" fontId="19" fillId="2" borderId="118" xfId="0" applyFont="1" applyFill="1" applyBorder="1" applyAlignment="1" applyProtection="1">
      <alignment vertical="center" wrapText="1"/>
      <protection locked="0"/>
    </xf>
    <xf numFmtId="0" fontId="42" fillId="0" borderId="0" xfId="0" applyFont="1"/>
    <xf numFmtId="0" fontId="23" fillId="2" borderId="119" xfId="0" applyFont="1" applyFill="1" applyBorder="1" applyAlignment="1" applyProtection="1">
      <alignment horizontal="left" vertical="center" wrapText="1"/>
      <protection locked="0"/>
    </xf>
    <xf numFmtId="0" fontId="23" fillId="2" borderId="0" xfId="0" applyFont="1" applyFill="1" applyAlignment="1" applyProtection="1">
      <alignment horizontal="left" vertical="center" wrapText="1"/>
      <protection locked="0"/>
    </xf>
  </cellXfs>
  <cellStyles count="3">
    <cellStyle name="Lien hypertexte" xfId="1" builtinId="8"/>
    <cellStyle name="Normal" xfId="0" builtinId="0"/>
    <cellStyle name="Normal 2" xfId="2" xr:uid="{00000000-0005-0000-0000-000002000000}"/>
  </cellStyles>
  <dxfs count="92">
    <dxf>
      <font>
        <color theme="0" tint="-0.14996795556505021"/>
      </font>
      <fill>
        <patternFill>
          <bgColor rgb="FFFFFFCC"/>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fill>
        <patternFill patternType="solid">
          <bgColor rgb="FFFFFFCC"/>
        </patternFill>
      </fill>
    </dxf>
    <dxf>
      <font>
        <color theme="0" tint="-0.14996795556505021"/>
      </font>
    </dxf>
    <dxf>
      <font>
        <color theme="0" tint="-0.14996795556505021"/>
      </font>
    </dxf>
    <dxf>
      <font>
        <color theme="0" tint="-0.14996795556505021"/>
      </font>
    </dxf>
    <dxf>
      <fill>
        <patternFill patternType="none">
          <bgColor indexed="65"/>
        </patternFill>
      </fill>
    </dxf>
    <dxf>
      <font>
        <color theme="0" tint="-0.14996795556505021"/>
      </font>
      <fill>
        <patternFill>
          <bgColor rgb="FFFFFFCC"/>
        </patternFill>
      </fill>
    </dxf>
    <dxf>
      <fill>
        <patternFill patternType="none">
          <bgColor indexed="65"/>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fill>
        <patternFill patternType="solid">
          <bgColor rgb="FFFFFFCC"/>
        </patternFill>
      </fill>
    </dxf>
    <dxf>
      <font>
        <color theme="0" tint="-0.14996795556505021"/>
      </font>
      <fill>
        <patternFill>
          <bgColor rgb="FFFFFFCC"/>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fill>
        <patternFill patternType="solid">
          <bgColor rgb="FFFFFFCC"/>
        </patternFill>
      </fill>
    </dxf>
    <dxf>
      <font>
        <color theme="0" tint="-0.14996795556505021"/>
      </font>
    </dxf>
    <dxf>
      <font>
        <color theme="0" tint="-0.14996795556505021"/>
      </font>
    </dxf>
    <dxf>
      <font>
        <color theme="0" tint="-0.14996795556505021"/>
      </font>
    </dxf>
    <dxf>
      <fill>
        <patternFill patternType="none">
          <bgColor indexed="65"/>
        </patternFill>
      </fill>
    </dxf>
    <dxf>
      <font>
        <color theme="0" tint="-0.14996795556505021"/>
      </font>
      <fill>
        <patternFill>
          <bgColor rgb="FFFFFFCC"/>
        </patternFill>
      </fill>
    </dxf>
    <dxf>
      <fill>
        <patternFill patternType="none">
          <bgColor indexed="65"/>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fill>
        <patternFill patternType="solid">
          <bgColor rgb="FFFFFFCC"/>
        </patternFill>
      </fill>
    </dxf>
    <dxf>
      <font>
        <color theme="0" tint="-0.14996795556505021"/>
      </font>
      <fill>
        <patternFill>
          <bgColor rgb="FFFFFFCC"/>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fill>
        <patternFill patternType="solid">
          <bgColor rgb="FFFFFFCC"/>
        </patternFill>
      </fill>
    </dxf>
    <dxf>
      <font>
        <color theme="0" tint="-0.14996795556505021"/>
      </font>
    </dxf>
    <dxf>
      <font>
        <color theme="0" tint="-0.14996795556505021"/>
      </font>
    </dxf>
    <dxf>
      <font>
        <color theme="0" tint="-0.14996795556505021"/>
      </font>
    </dxf>
    <dxf>
      <fill>
        <patternFill patternType="none">
          <bgColor indexed="65"/>
        </patternFill>
      </fill>
    </dxf>
    <dxf>
      <font>
        <color theme="0" tint="-0.14996795556505021"/>
      </font>
      <fill>
        <patternFill>
          <bgColor rgb="FFFFFFCC"/>
        </patternFill>
      </fill>
    </dxf>
    <dxf>
      <fill>
        <patternFill patternType="none">
          <bgColor indexed="65"/>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fill>
        <patternFill patternType="solid">
          <bgColor rgb="FFFFFFCC"/>
        </patternFill>
      </fill>
    </dxf>
    <dxf>
      <font>
        <color theme="0" tint="-0.14996795556505021"/>
      </font>
      <fill>
        <patternFill>
          <bgColor rgb="FFFFFFCC"/>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fill>
        <patternFill patternType="solid">
          <bgColor rgb="FFFFFFCC"/>
        </patternFill>
      </fill>
    </dxf>
    <dxf>
      <font>
        <color theme="0" tint="-0.14996795556505021"/>
      </font>
    </dxf>
    <dxf>
      <font>
        <color theme="0" tint="-0.14996795556505021"/>
      </font>
    </dxf>
    <dxf>
      <font>
        <color theme="0" tint="-0.14996795556505021"/>
      </font>
    </dxf>
    <dxf>
      <fill>
        <patternFill patternType="none">
          <bgColor indexed="65"/>
        </patternFill>
      </fill>
    </dxf>
    <dxf>
      <font>
        <color theme="0" tint="-0.14996795556505021"/>
      </font>
      <fill>
        <patternFill>
          <bgColor rgb="FFFFFFCC"/>
        </patternFill>
      </fill>
    </dxf>
    <dxf>
      <fill>
        <patternFill patternType="none">
          <bgColor indexed="65"/>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fill>
        <patternFill patternType="solid">
          <bgColor rgb="FFFFFFCC"/>
        </patternFill>
      </fill>
    </dxf>
    <dxf>
      <font>
        <color theme="0" tint="-0.14996795556505021"/>
      </font>
      <fill>
        <patternFill>
          <bgColor rgb="FFFFFFCC"/>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fill>
        <patternFill patternType="solid">
          <bgColor rgb="FFFFFFCC"/>
        </patternFill>
      </fill>
    </dxf>
    <dxf>
      <font>
        <color theme="0" tint="-0.14996795556505021"/>
      </font>
    </dxf>
    <dxf>
      <font>
        <color theme="0" tint="-0.14996795556505021"/>
      </font>
    </dxf>
    <dxf>
      <font>
        <color theme="0" tint="-0.14996795556505021"/>
      </font>
    </dxf>
    <dxf>
      <fill>
        <patternFill patternType="none">
          <bgColor indexed="65"/>
        </patternFill>
      </fill>
    </dxf>
    <dxf>
      <font>
        <color theme="0" tint="-0.14996795556505021"/>
      </font>
      <fill>
        <patternFill>
          <bgColor rgb="FFFFFFCC"/>
        </patternFill>
      </fill>
    </dxf>
    <dxf>
      <fill>
        <patternFill patternType="none">
          <bgColor indexed="65"/>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fill>
        <patternFill patternType="solid">
          <bgColor rgb="FFFFFFCC"/>
        </patternFill>
      </fill>
    </dxf>
    <dxf>
      <font>
        <color auto="1"/>
      </font>
      <fill>
        <patternFill>
          <bgColor theme="9" tint="0.59996337778862885"/>
        </patternFill>
      </fill>
    </dxf>
    <dxf>
      <font>
        <color theme="0" tint="-0.14996795556505021"/>
      </font>
      <fill>
        <patternFill>
          <bgColor rgb="FFFFFFCC"/>
        </patternFill>
      </fill>
    </dxf>
    <dxf>
      <font>
        <color theme="0" tint="-0.1499679555650502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9525</xdr:rowOff>
    </xdr:from>
    <xdr:to>
      <xdr:col>1</xdr:col>
      <xdr:colOff>1190625</xdr:colOff>
      <xdr:row>8</xdr:row>
      <xdr:rowOff>0</xdr:rowOff>
    </xdr:to>
    <xdr:pic>
      <xdr:nvPicPr>
        <xdr:cNvPr id="1380" name="Image 1">
          <a:extLst>
            <a:ext uri="{FF2B5EF4-FFF2-40B4-BE49-F238E27FC236}">
              <a16:creationId xmlns:a16="http://schemas.microsoft.com/office/drawing/2014/main" id="{247BF103-1E08-3131-4C70-9EE5222E2D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200025"/>
          <a:ext cx="1143000"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123825</xdr:rowOff>
    </xdr:from>
    <xdr:to>
      <xdr:col>1</xdr:col>
      <xdr:colOff>1152525</xdr:colOff>
      <xdr:row>6</xdr:row>
      <xdr:rowOff>76200</xdr:rowOff>
    </xdr:to>
    <xdr:pic>
      <xdr:nvPicPr>
        <xdr:cNvPr id="5293" name="Image 1">
          <a:extLst>
            <a:ext uri="{FF2B5EF4-FFF2-40B4-BE49-F238E27FC236}">
              <a16:creationId xmlns:a16="http://schemas.microsoft.com/office/drawing/2014/main" id="{B02C470D-25C8-D7D7-04E0-E43AE7329D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23825"/>
          <a:ext cx="1133475"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200025</xdr:colOff>
      <xdr:row>1</xdr:row>
      <xdr:rowOff>19050</xdr:rowOff>
    </xdr:from>
    <xdr:to>
      <xdr:col>1</xdr:col>
      <xdr:colOff>962025</xdr:colOff>
      <xdr:row>5</xdr:row>
      <xdr:rowOff>95250</xdr:rowOff>
    </xdr:to>
    <xdr:pic>
      <xdr:nvPicPr>
        <xdr:cNvPr id="2402" name="Image 3">
          <a:extLst>
            <a:ext uri="{FF2B5EF4-FFF2-40B4-BE49-F238E27FC236}">
              <a16:creationId xmlns:a16="http://schemas.microsoft.com/office/drawing/2014/main" id="{B4DAC539-C269-9807-DE90-212205F30F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209550"/>
          <a:ext cx="7620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200025</xdr:colOff>
      <xdr:row>1</xdr:row>
      <xdr:rowOff>19050</xdr:rowOff>
    </xdr:from>
    <xdr:to>
      <xdr:col>1</xdr:col>
      <xdr:colOff>962025</xdr:colOff>
      <xdr:row>5</xdr:row>
      <xdr:rowOff>95250</xdr:rowOff>
    </xdr:to>
    <xdr:pic>
      <xdr:nvPicPr>
        <xdr:cNvPr id="3406" name="Image 3">
          <a:extLst>
            <a:ext uri="{FF2B5EF4-FFF2-40B4-BE49-F238E27FC236}">
              <a16:creationId xmlns:a16="http://schemas.microsoft.com/office/drawing/2014/main" id="{59E02869-D7E8-5859-104A-CF157B5B79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209550"/>
          <a:ext cx="7620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200025</xdr:colOff>
      <xdr:row>1</xdr:row>
      <xdr:rowOff>19050</xdr:rowOff>
    </xdr:from>
    <xdr:to>
      <xdr:col>1</xdr:col>
      <xdr:colOff>962025</xdr:colOff>
      <xdr:row>5</xdr:row>
      <xdr:rowOff>95250</xdr:rowOff>
    </xdr:to>
    <xdr:pic>
      <xdr:nvPicPr>
        <xdr:cNvPr id="4426" name="Image 3">
          <a:extLst>
            <a:ext uri="{FF2B5EF4-FFF2-40B4-BE49-F238E27FC236}">
              <a16:creationId xmlns:a16="http://schemas.microsoft.com/office/drawing/2014/main" id="{4CA0947B-7157-07F4-6EF2-F383FC3669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209550"/>
          <a:ext cx="7620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200025</xdr:colOff>
      <xdr:row>1</xdr:row>
      <xdr:rowOff>19050</xdr:rowOff>
    </xdr:from>
    <xdr:to>
      <xdr:col>1</xdr:col>
      <xdr:colOff>962025</xdr:colOff>
      <xdr:row>5</xdr:row>
      <xdr:rowOff>95250</xdr:rowOff>
    </xdr:to>
    <xdr:pic>
      <xdr:nvPicPr>
        <xdr:cNvPr id="6472" name="Image 3">
          <a:extLst>
            <a:ext uri="{FF2B5EF4-FFF2-40B4-BE49-F238E27FC236}">
              <a16:creationId xmlns:a16="http://schemas.microsoft.com/office/drawing/2014/main" id="{B0557390-477F-AD5F-CD36-66A92CD0BD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209550"/>
          <a:ext cx="7620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190500</xdr:colOff>
      <xdr:row>1</xdr:row>
      <xdr:rowOff>19050</xdr:rowOff>
    </xdr:from>
    <xdr:to>
      <xdr:col>1</xdr:col>
      <xdr:colOff>942975</xdr:colOff>
      <xdr:row>5</xdr:row>
      <xdr:rowOff>76200</xdr:rowOff>
    </xdr:to>
    <xdr:pic>
      <xdr:nvPicPr>
        <xdr:cNvPr id="7582" name="Image 3">
          <a:extLst>
            <a:ext uri="{FF2B5EF4-FFF2-40B4-BE49-F238E27FC236}">
              <a16:creationId xmlns:a16="http://schemas.microsoft.com/office/drawing/2014/main" id="{A8AF4E49-D852-610C-FCAB-7A83CABED6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209550"/>
          <a:ext cx="75247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xdr:row>
      <xdr:rowOff>19050</xdr:rowOff>
    </xdr:from>
    <xdr:to>
      <xdr:col>1</xdr:col>
      <xdr:colOff>952500</xdr:colOff>
      <xdr:row>5</xdr:row>
      <xdr:rowOff>95250</xdr:rowOff>
    </xdr:to>
    <xdr:pic>
      <xdr:nvPicPr>
        <xdr:cNvPr id="7583" name="Image 3">
          <a:extLst>
            <a:ext uri="{FF2B5EF4-FFF2-40B4-BE49-F238E27FC236}">
              <a16:creationId xmlns:a16="http://schemas.microsoft.com/office/drawing/2014/main" id="{76613EFF-7218-68A0-D6F3-F8285BE295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209550"/>
          <a:ext cx="7620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47625</xdr:colOff>
      <xdr:row>1</xdr:row>
      <xdr:rowOff>66675</xdr:rowOff>
    </xdr:from>
    <xdr:to>
      <xdr:col>2</xdr:col>
      <xdr:colOff>942975</xdr:colOff>
      <xdr:row>8</xdr:row>
      <xdr:rowOff>114300</xdr:rowOff>
    </xdr:to>
    <xdr:pic>
      <xdr:nvPicPr>
        <xdr:cNvPr id="8351" name="Image 1">
          <a:extLst>
            <a:ext uri="{FF2B5EF4-FFF2-40B4-BE49-F238E27FC236}">
              <a16:creationId xmlns:a16="http://schemas.microsoft.com/office/drawing/2014/main" id="{E8812FC5-E62B-6C1C-41A5-3167E26B46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257175"/>
          <a:ext cx="1133475" cy="145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rchers-du-phenix.fr/contactez-nous" TargetMode="External"/><Relationship Id="rId1" Type="http://schemas.openxmlformats.org/officeDocument/2006/relationships/hyperlink" Target="https://www.ffta.fr/nos-clubs/la-licence-federale/les-differents-types-de-licence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B1:L70"/>
  <sheetViews>
    <sheetView showGridLines="0" tabSelected="1" workbookViewId="0">
      <selection activeCell="B1" sqref="B1:J53"/>
    </sheetView>
  </sheetViews>
  <sheetFormatPr baseColWidth="10" defaultColWidth="9.140625" defaultRowHeight="15" x14ac:dyDescent="0.25"/>
  <cols>
    <col min="1" max="1" width="2.140625" customWidth="1"/>
    <col min="2" max="2" width="32.7109375" style="56" customWidth="1"/>
    <col min="3" max="3" width="11.42578125" customWidth="1"/>
    <col min="4" max="4" width="12.5703125" customWidth="1"/>
    <col min="5" max="5" width="13.140625" customWidth="1"/>
    <col min="6" max="256" width="11.42578125" customWidth="1"/>
  </cols>
  <sheetData>
    <row r="1" spans="2:9" x14ac:dyDescent="0.25">
      <c r="B1" s="266"/>
      <c r="C1" s="266"/>
      <c r="D1" s="266"/>
      <c r="E1" s="266"/>
      <c r="F1" s="266"/>
      <c r="G1" s="266"/>
      <c r="H1" s="266"/>
      <c r="I1" s="266"/>
    </row>
    <row r="2" spans="2:9" x14ac:dyDescent="0.25">
      <c r="B2" s="266"/>
      <c r="C2" s="266"/>
      <c r="D2" s="266"/>
      <c r="E2" s="266"/>
      <c r="F2" s="266"/>
      <c r="G2" s="266"/>
      <c r="H2" s="266"/>
      <c r="I2" s="266"/>
    </row>
    <row r="3" spans="2:9" x14ac:dyDescent="0.25">
      <c r="B3" s="91"/>
    </row>
    <row r="4" spans="2:9" ht="21" x14ac:dyDescent="0.25">
      <c r="B4" s="267" t="s">
        <v>0</v>
      </c>
      <c r="C4" s="267"/>
      <c r="D4" s="267"/>
      <c r="E4" s="267"/>
      <c r="F4" s="267"/>
      <c r="G4" s="267"/>
      <c r="H4" s="267"/>
      <c r="I4" s="267"/>
    </row>
    <row r="5" spans="2:9" x14ac:dyDescent="0.25">
      <c r="B5" s="266"/>
      <c r="C5" s="266"/>
      <c r="D5" s="266"/>
      <c r="E5" s="266"/>
      <c r="F5" s="266"/>
      <c r="G5" s="266"/>
      <c r="H5" s="266"/>
      <c r="I5" s="266"/>
    </row>
    <row r="6" spans="2:9" x14ac:dyDescent="0.25">
      <c r="B6" s="268" t="s">
        <v>1</v>
      </c>
      <c r="C6" s="268"/>
      <c r="D6" s="268"/>
      <c r="E6" s="268"/>
      <c r="F6" s="268"/>
      <c r="G6" s="268"/>
      <c r="H6" s="268"/>
      <c r="I6" s="268"/>
    </row>
    <row r="7" spans="2:9" x14ac:dyDescent="0.25">
      <c r="B7" s="266"/>
      <c r="C7" s="266"/>
      <c r="D7" s="266"/>
      <c r="E7" s="266"/>
      <c r="F7" s="266"/>
      <c r="G7" s="266"/>
      <c r="H7" s="266"/>
      <c r="I7" s="266"/>
    </row>
    <row r="8" spans="2:9" ht="20.25" customHeight="1" x14ac:dyDescent="0.25">
      <c r="B8" s="266"/>
      <c r="C8" s="266"/>
      <c r="D8" s="266"/>
      <c r="E8" s="266"/>
      <c r="F8" s="266"/>
      <c r="G8" s="266"/>
      <c r="H8" s="266"/>
      <c r="I8" s="266"/>
    </row>
    <row r="9" spans="2:9" x14ac:dyDescent="0.25">
      <c r="B9" s="257" t="str">
        <f>"Les inscriptions pour la saison "&amp;Param!C2&amp;" auront lieu  :"</f>
        <v>Les inscriptions pour la saison 2025-2026 auront lieu  :</v>
      </c>
      <c r="C9" s="257"/>
      <c r="D9" s="257"/>
      <c r="E9" s="257"/>
      <c r="F9" s="257"/>
      <c r="G9" s="257"/>
      <c r="H9" s="257"/>
      <c r="I9" s="257"/>
    </row>
    <row r="10" spans="2:9" x14ac:dyDescent="0.25">
      <c r="B10" s="261" t="s">
        <v>2</v>
      </c>
      <c r="C10" s="261"/>
      <c r="D10" s="261"/>
      <c r="E10" s="261"/>
      <c r="F10" s="261"/>
      <c r="G10" s="261"/>
      <c r="H10" s="261"/>
      <c r="I10" s="261"/>
    </row>
    <row r="11" spans="2:9" x14ac:dyDescent="0.25">
      <c r="B11" s="258" t="str">
        <f>" les samedi du mois de juin "&amp; YEAR(Date_forum)&amp;" , aux heures d'entraînement."</f>
        <v> les samedi du mois de juin 2025 , aux heures d'entraînement.</v>
      </c>
      <c r="C11" s="258"/>
      <c r="D11" s="258"/>
      <c r="E11" s="258"/>
      <c r="F11" s="258"/>
      <c r="G11" s="258"/>
      <c r="H11" s="258"/>
      <c r="I11" s="258"/>
    </row>
    <row r="12" spans="2:9" x14ac:dyDescent="0.25">
      <c r="B12" s="261" t="s">
        <v>3</v>
      </c>
      <c r="C12" s="261"/>
      <c r="D12" s="261"/>
      <c r="E12" s="261"/>
      <c r="F12" s="261"/>
      <c r="G12" s="261"/>
      <c r="H12" s="261"/>
      <c r="I12" s="261"/>
    </row>
    <row r="13" spans="2:9" ht="28.9" customHeight="1" x14ac:dyDescent="0.25">
      <c r="B13" s="258" t="str">
        <f>"Le "&amp;Param!D3 &amp;" à partir de 8h30 sur notre stand du forum des Associations de la ville de CHATENAY-MALABRY (Gymnase Pierre Bérégovoy)."</f>
        <v>Le samedi 06 septembre 2025 à partir de 8h30 sur notre stand du forum des Associations de la ville de CHATENAY-MALABRY (Gymnase Pierre Bérégovoy).</v>
      </c>
      <c r="C13" s="258"/>
      <c r="D13" s="258"/>
      <c r="E13" s="258"/>
      <c r="F13" s="258"/>
      <c r="G13" s="258"/>
      <c r="H13" s="258"/>
      <c r="I13" s="258"/>
    </row>
    <row r="14" spans="2:9" ht="21" customHeight="1" x14ac:dyDescent="0.25">
      <c r="B14" s="262" t="s">
        <v>242</v>
      </c>
      <c r="C14" s="262"/>
      <c r="D14" s="262"/>
      <c r="E14" s="262"/>
      <c r="F14" s="262"/>
      <c r="G14" s="262"/>
      <c r="H14" s="262"/>
      <c r="I14" s="262"/>
    </row>
    <row r="15" spans="2:9" ht="19.5" customHeight="1" x14ac:dyDescent="0.25">
      <c r="B15" s="259" t="s">
        <v>241</v>
      </c>
      <c r="C15" s="257"/>
      <c r="D15" s="257"/>
      <c r="E15" s="257"/>
      <c r="F15" s="257"/>
      <c r="G15" s="257"/>
      <c r="H15" s="257"/>
      <c r="I15" s="257"/>
    </row>
    <row r="16" spans="2:9" ht="15.75" x14ac:dyDescent="0.25">
      <c r="B16" s="260" t="s">
        <v>4</v>
      </c>
      <c r="C16" s="260"/>
      <c r="D16" s="260"/>
      <c r="E16" s="260"/>
      <c r="F16" s="260"/>
      <c r="G16" s="260"/>
      <c r="H16" s="260"/>
      <c r="I16" s="260"/>
    </row>
    <row r="17" spans="2:12" ht="5.0999999999999996" customHeight="1" x14ac:dyDescent="0.25">
      <c r="B17" s="257"/>
      <c r="C17" s="257"/>
      <c r="D17" s="257"/>
      <c r="E17" s="257"/>
      <c r="F17" s="257"/>
      <c r="G17" s="257"/>
      <c r="H17" s="257"/>
      <c r="I17" s="257"/>
    </row>
    <row r="18" spans="2:12" ht="28.9" customHeight="1" x14ac:dyDescent="0.25">
      <c r="B18" s="258" t="s">
        <v>5</v>
      </c>
      <c r="C18" s="258"/>
      <c r="D18" s="258"/>
      <c r="E18" s="258"/>
      <c r="F18" s="258"/>
      <c r="G18" s="258"/>
      <c r="H18" s="258"/>
      <c r="I18" s="258"/>
    </row>
    <row r="19" spans="2:12" x14ac:dyDescent="0.25">
      <c r="B19" s="93"/>
      <c r="C19" s="207"/>
      <c r="D19" s="207"/>
      <c r="E19" s="207"/>
      <c r="F19" s="207"/>
      <c r="G19" s="207"/>
      <c r="H19" s="207"/>
      <c r="I19" s="207"/>
    </row>
    <row r="20" spans="2:12" x14ac:dyDescent="0.25">
      <c r="B20" s="258" t="s">
        <v>6</v>
      </c>
      <c r="C20" s="258"/>
      <c r="D20" s="258"/>
      <c r="E20" s="258"/>
      <c r="F20" s="258"/>
      <c r="G20" s="258"/>
      <c r="H20" s="258"/>
      <c r="I20" s="258"/>
    </row>
    <row r="21" spans="2:12" x14ac:dyDescent="0.25">
      <c r="B21" s="258"/>
      <c r="C21" s="258"/>
      <c r="D21" s="258"/>
      <c r="E21" s="258"/>
      <c r="F21" s="258"/>
      <c r="G21" s="258"/>
      <c r="H21" s="258"/>
      <c r="I21" s="258"/>
    </row>
    <row r="22" spans="2:12" ht="28.9" customHeight="1" x14ac:dyDescent="0.25">
      <c r="B22" s="258" t="s">
        <v>7</v>
      </c>
      <c r="C22" s="258"/>
      <c r="D22" s="258"/>
      <c r="E22" s="258"/>
      <c r="F22" s="258"/>
      <c r="G22" s="258"/>
      <c r="H22" s="258"/>
      <c r="I22" s="258"/>
    </row>
    <row r="23" spans="2:12" ht="43.15" customHeight="1" x14ac:dyDescent="0.25">
      <c r="B23" s="263" t="s">
        <v>244</v>
      </c>
      <c r="C23" s="264"/>
      <c r="D23" s="264"/>
      <c r="E23" s="264"/>
      <c r="F23" s="264"/>
      <c r="G23" s="264"/>
      <c r="H23" s="264"/>
      <c r="I23" s="264"/>
      <c r="L23" s="252"/>
    </row>
    <row r="24" spans="2:12" ht="5.0999999999999996" customHeight="1" x14ac:dyDescent="0.25">
      <c r="B24" s="258"/>
      <c r="C24" s="258"/>
      <c r="D24" s="258"/>
      <c r="E24" s="258"/>
      <c r="F24" s="258"/>
      <c r="G24" s="258"/>
      <c r="H24" s="258"/>
      <c r="I24" s="258"/>
    </row>
    <row r="25" spans="2:12" ht="28.9" customHeight="1" x14ac:dyDescent="0.25">
      <c r="B25" s="258" t="s">
        <v>243</v>
      </c>
      <c r="C25" s="258"/>
      <c r="D25" s="258"/>
      <c r="E25" s="258"/>
      <c r="F25" s="258"/>
      <c r="G25" s="258"/>
      <c r="H25" s="258"/>
      <c r="I25" s="258"/>
    </row>
    <row r="26" spans="2:12" ht="5.0999999999999996" customHeight="1" x14ac:dyDescent="0.25">
      <c r="B26" s="257"/>
      <c r="C26" s="257"/>
      <c r="D26" s="257"/>
      <c r="E26" s="257"/>
      <c r="F26" s="257"/>
      <c r="G26" s="257"/>
      <c r="H26" s="257"/>
      <c r="I26" s="257"/>
    </row>
    <row r="27" spans="2:12" ht="15.75" x14ac:dyDescent="0.25">
      <c r="B27" s="260" t="s">
        <v>8</v>
      </c>
      <c r="C27" s="260"/>
      <c r="D27" s="260"/>
      <c r="E27" s="260"/>
      <c r="F27" s="260"/>
      <c r="G27" s="260"/>
      <c r="H27" s="260"/>
      <c r="I27" s="260"/>
    </row>
    <row r="28" spans="2:12" ht="5.0999999999999996" customHeight="1" x14ac:dyDescent="0.25">
      <c r="B28" s="257"/>
      <c r="C28" s="257"/>
      <c r="D28" s="257"/>
      <c r="E28" s="257"/>
      <c r="F28" s="257"/>
      <c r="G28" s="257"/>
      <c r="H28" s="257"/>
      <c r="I28" s="257"/>
    </row>
    <row r="29" spans="2:12" ht="30" x14ac:dyDescent="0.25">
      <c r="B29"/>
      <c r="C29" s="226" t="s">
        <v>9</v>
      </c>
      <c r="D29" s="227" t="s">
        <v>10</v>
      </c>
      <c r="E29" s="227" t="s">
        <v>11</v>
      </c>
      <c r="F29" s="228" t="s">
        <v>12</v>
      </c>
      <c r="G29" s="227" t="s">
        <v>13</v>
      </c>
      <c r="H29" s="229" t="s">
        <v>14</v>
      </c>
      <c r="I29" s="229" t="s">
        <v>15</v>
      </c>
      <c r="J29" s="230" t="s">
        <v>16</v>
      </c>
    </row>
    <row r="30" spans="2:12" ht="17.25" x14ac:dyDescent="0.25">
      <c r="B30" s="231" t="s">
        <v>17</v>
      </c>
      <c r="C30" s="232">
        <v>19</v>
      </c>
      <c r="D30" s="233">
        <v>28</v>
      </c>
      <c r="E30" s="233">
        <v>46</v>
      </c>
      <c r="F30" s="234">
        <v>38</v>
      </c>
      <c r="G30" s="234">
        <v>29</v>
      </c>
      <c r="H30" s="234">
        <v>16</v>
      </c>
      <c r="I30" s="234">
        <v>17</v>
      </c>
      <c r="J30" s="235"/>
    </row>
    <row r="31" spans="2:12" x14ac:dyDescent="0.25">
      <c r="B31" s="236" t="s">
        <v>18</v>
      </c>
      <c r="C31" s="237">
        <v>7</v>
      </c>
      <c r="D31" s="238">
        <v>16</v>
      </c>
      <c r="E31" s="238">
        <v>20</v>
      </c>
      <c r="F31" s="239">
        <v>16</v>
      </c>
      <c r="G31" s="239">
        <v>5</v>
      </c>
      <c r="H31" s="239">
        <v>2</v>
      </c>
      <c r="I31" s="239">
        <v>3</v>
      </c>
      <c r="J31" s="240"/>
    </row>
    <row r="32" spans="2:12" x14ac:dyDescent="0.25">
      <c r="B32" s="236" t="s">
        <v>19</v>
      </c>
      <c r="C32" s="237">
        <v>5</v>
      </c>
      <c r="D32" s="238">
        <v>10</v>
      </c>
      <c r="E32" s="238">
        <v>13.5</v>
      </c>
      <c r="F32" s="239">
        <v>13</v>
      </c>
      <c r="G32" s="239">
        <v>5</v>
      </c>
      <c r="H32" s="239">
        <v>2</v>
      </c>
      <c r="I32" s="239">
        <v>2</v>
      </c>
      <c r="J32" s="240"/>
    </row>
    <row r="33" spans="2:10" x14ac:dyDescent="0.25">
      <c r="B33" s="236" t="s">
        <v>20</v>
      </c>
      <c r="C33" s="237">
        <v>110</v>
      </c>
      <c r="D33" s="238">
        <v>110</v>
      </c>
      <c r="E33" s="238">
        <v>120</v>
      </c>
      <c r="F33" s="239">
        <v>120</v>
      </c>
      <c r="G33" s="239">
        <v>35</v>
      </c>
      <c r="H33" s="239">
        <v>120</v>
      </c>
      <c r="I33" s="239">
        <v>50</v>
      </c>
      <c r="J33" s="240">
        <v>110</v>
      </c>
    </row>
    <row r="34" spans="2:10" x14ac:dyDescent="0.25">
      <c r="B34" s="241" t="s">
        <v>21</v>
      </c>
      <c r="C34" s="242">
        <f t="shared" ref="C34:J34" si="0">SUM(C30:C33)</f>
        <v>141</v>
      </c>
      <c r="D34" s="243">
        <f>SUM(D30:D33)</f>
        <v>164</v>
      </c>
      <c r="E34" s="244">
        <f t="shared" si="0"/>
        <v>199.5</v>
      </c>
      <c r="F34" s="244">
        <f t="shared" si="0"/>
        <v>187</v>
      </c>
      <c r="G34" s="244">
        <f t="shared" si="0"/>
        <v>74</v>
      </c>
      <c r="H34" s="244">
        <f t="shared" si="0"/>
        <v>140</v>
      </c>
      <c r="I34" s="244">
        <f t="shared" si="0"/>
        <v>72</v>
      </c>
      <c r="J34" s="245">
        <f t="shared" si="0"/>
        <v>110</v>
      </c>
    </row>
    <row r="35" spans="2:10" x14ac:dyDescent="0.25">
      <c r="B35" s="236" t="s">
        <v>22</v>
      </c>
      <c r="C35" s="246">
        <v>50</v>
      </c>
      <c r="D35" s="238">
        <v>50</v>
      </c>
      <c r="E35" s="238">
        <v>50</v>
      </c>
      <c r="F35" s="239">
        <v>50</v>
      </c>
      <c r="G35" s="239">
        <v>50</v>
      </c>
      <c r="H35" s="239">
        <v>50</v>
      </c>
      <c r="I35" s="239"/>
      <c r="J35" s="240"/>
    </row>
    <row r="36" spans="2:10" x14ac:dyDescent="0.25">
      <c r="B36" s="247" t="s">
        <v>23</v>
      </c>
      <c r="C36" s="248">
        <f t="shared" ref="C36:H36" si="1">SUM(C34+C35)</f>
        <v>191</v>
      </c>
      <c r="D36" s="248">
        <f t="shared" si="1"/>
        <v>214</v>
      </c>
      <c r="E36" s="248">
        <f t="shared" si="1"/>
        <v>249.5</v>
      </c>
      <c r="F36" s="248">
        <f t="shared" si="1"/>
        <v>237</v>
      </c>
      <c r="G36" s="248">
        <f t="shared" si="1"/>
        <v>124</v>
      </c>
      <c r="H36" s="248">
        <f t="shared" si="1"/>
        <v>190</v>
      </c>
      <c r="I36" s="249">
        <f>SUM(I34:I35)</f>
        <v>72</v>
      </c>
      <c r="J36" s="250">
        <f>SUM(J34:J35)</f>
        <v>110</v>
      </c>
    </row>
    <row r="37" spans="2:10" ht="15" customHeight="1" x14ac:dyDescent="0.25">
      <c r="B37" s="251" t="s">
        <v>24</v>
      </c>
    </row>
    <row r="38" spans="2:10" ht="15" customHeight="1" x14ac:dyDescent="0.25">
      <c r="B38" s="118" t="s">
        <v>25</v>
      </c>
    </row>
    <row r="39" spans="2:10" ht="6" customHeight="1" x14ac:dyDescent="0.25">
      <c r="B39" s="257"/>
      <c r="C39" s="257"/>
      <c r="D39" s="257"/>
      <c r="E39" s="257"/>
      <c r="F39" s="257"/>
      <c r="G39" s="257"/>
      <c r="H39" s="257"/>
      <c r="I39" s="257"/>
    </row>
    <row r="40" spans="2:10" ht="15" customHeight="1" x14ac:dyDescent="0.25">
      <c r="B40" s="265" t="str">
        <f>"Droit d'entrée : "&amp;Droit_entree&amp;"€"</f>
        <v>Droit d'entrée : 50€</v>
      </c>
      <c r="C40" s="265"/>
      <c r="D40" s="265"/>
      <c r="E40" s="265"/>
      <c r="F40" s="265"/>
      <c r="G40" s="265"/>
      <c r="H40" s="265"/>
      <c r="I40" s="265"/>
    </row>
    <row r="41" spans="2:10" ht="15" customHeight="1" x14ac:dyDescent="0.25">
      <c r="B41" s="261" t="str">
        <f>"Double compagnie : "&amp;Tarif_double_compagnie&amp;"€"</f>
        <v>Double compagnie : 110€</v>
      </c>
      <c r="C41" s="261"/>
      <c r="D41" s="261"/>
      <c r="E41" s="261"/>
      <c r="F41" s="261"/>
      <c r="G41" s="261"/>
      <c r="H41" s="261"/>
      <c r="I41" s="261"/>
    </row>
    <row r="42" spans="2:10" ht="5.25" customHeight="1" x14ac:dyDescent="0.25">
      <c r="B42" s="257"/>
      <c r="C42" s="257"/>
      <c r="D42" s="257"/>
      <c r="E42" s="257"/>
      <c r="F42" s="257"/>
      <c r="G42" s="257"/>
      <c r="H42" s="257"/>
      <c r="I42" s="257"/>
    </row>
    <row r="43" spans="2:10" x14ac:dyDescent="0.25">
      <c r="B43" s="259" t="s">
        <v>26</v>
      </c>
      <c r="C43" s="259"/>
      <c r="D43" s="259"/>
      <c r="E43" s="259"/>
      <c r="F43" s="259"/>
      <c r="G43" s="259"/>
      <c r="H43" s="259"/>
      <c r="I43" s="259"/>
    </row>
    <row r="44" spans="2:10" x14ac:dyDescent="0.25">
      <c r="B44" s="257" t="s">
        <v>27</v>
      </c>
      <c r="C44" s="257"/>
      <c r="D44" s="257"/>
      <c r="E44" s="257"/>
      <c r="F44" s="257"/>
      <c r="G44" s="257"/>
      <c r="H44" s="257"/>
      <c r="I44" s="257"/>
    </row>
    <row r="45" spans="2:10" ht="5.0999999999999996" customHeight="1" x14ac:dyDescent="0.25">
      <c r="B45" s="257"/>
      <c r="C45" s="257"/>
      <c r="D45" s="257"/>
      <c r="E45" s="257"/>
      <c r="F45" s="257"/>
      <c r="G45" s="257"/>
      <c r="H45" s="257"/>
      <c r="I45" s="257"/>
    </row>
    <row r="46" spans="2:10" ht="15.75" x14ac:dyDescent="0.25">
      <c r="B46" s="260" t="s">
        <v>28</v>
      </c>
      <c r="C46" s="260"/>
      <c r="D46" s="260"/>
      <c r="E46" s="260"/>
      <c r="F46" s="260"/>
      <c r="G46" s="260"/>
      <c r="H46" s="260"/>
      <c r="I46" s="260"/>
    </row>
    <row r="47" spans="2:10" ht="5.0999999999999996" customHeight="1" x14ac:dyDescent="0.25">
      <c r="B47" s="257"/>
      <c r="C47" s="257"/>
      <c r="D47" s="257"/>
      <c r="E47" s="257"/>
      <c r="F47" s="257"/>
      <c r="G47" s="257"/>
      <c r="H47" s="257"/>
      <c r="I47" s="257"/>
    </row>
    <row r="48" spans="2:10" x14ac:dyDescent="0.25">
      <c r="B48" s="258" t="s">
        <v>29</v>
      </c>
      <c r="C48" s="258"/>
      <c r="D48" s="258"/>
      <c r="E48" s="258"/>
      <c r="F48" s="258"/>
      <c r="G48" s="258"/>
      <c r="H48" s="258"/>
      <c r="I48" s="258"/>
    </row>
    <row r="49" spans="2:9" ht="6.75" customHeight="1" x14ac:dyDescent="0.25">
      <c r="B49" s="91"/>
    </row>
    <row r="50" spans="2:9" x14ac:dyDescent="0.25">
      <c r="B50" s="258" t="s">
        <v>30</v>
      </c>
      <c r="C50" s="258"/>
      <c r="D50" s="258"/>
      <c r="E50" s="258"/>
      <c r="F50" s="258"/>
      <c r="G50" s="258"/>
      <c r="H50" s="258"/>
      <c r="I50" s="258"/>
    </row>
    <row r="51" spans="2:9" x14ac:dyDescent="0.25">
      <c r="B51" s="258" t="s">
        <v>31</v>
      </c>
      <c r="C51" s="258"/>
      <c r="D51" s="258"/>
      <c r="E51" s="258"/>
      <c r="F51" s="258"/>
      <c r="G51" s="258"/>
      <c r="H51" s="258"/>
      <c r="I51" s="258"/>
    </row>
    <row r="52" spans="2:9" ht="4.5" customHeight="1" x14ac:dyDescent="0.25"/>
    <row r="53" spans="2:9" x14ac:dyDescent="0.25">
      <c r="B53" s="258" t="s">
        <v>32</v>
      </c>
      <c r="C53" s="258"/>
      <c r="D53" s="258"/>
      <c r="E53" s="258"/>
      <c r="F53" s="258"/>
      <c r="G53" s="258"/>
      <c r="H53" s="258"/>
      <c r="I53" s="258"/>
    </row>
    <row r="54" spans="2:9" ht="5.0999999999999996" customHeight="1" x14ac:dyDescent="0.25">
      <c r="B54" s="257"/>
      <c r="C54" s="257"/>
      <c r="D54" s="257"/>
      <c r="E54" s="257"/>
      <c r="F54" s="257"/>
      <c r="G54" s="257"/>
      <c r="H54" s="257"/>
      <c r="I54" s="257"/>
    </row>
    <row r="55" spans="2:9" x14ac:dyDescent="0.25">
      <c r="B55"/>
    </row>
    <row r="56" spans="2:9" x14ac:dyDescent="0.25">
      <c r="B56"/>
    </row>
    <row r="70" spans="2:6" ht="37.5" customHeight="1" x14ac:dyDescent="0.25">
      <c r="B70" s="156" t="s">
        <v>33</v>
      </c>
      <c r="C70" s="64"/>
      <c r="D70" s="64"/>
      <c r="E70" s="64"/>
      <c r="F70" s="64"/>
    </row>
  </sheetData>
  <sheetProtection selectLockedCells="1" selectUnlockedCells="1"/>
  <mergeCells count="40">
    <mergeCell ref="B2:I2"/>
    <mergeCell ref="B1:I1"/>
    <mergeCell ref="B15:I15"/>
    <mergeCell ref="B17:I17"/>
    <mergeCell ref="B24:I24"/>
    <mergeCell ref="B11:I11"/>
    <mergeCell ref="B10:I10"/>
    <mergeCell ref="B9:I9"/>
    <mergeCell ref="B4:I4"/>
    <mergeCell ref="B21:I21"/>
    <mergeCell ref="B5:I5"/>
    <mergeCell ref="B6:I6"/>
    <mergeCell ref="B7:I7"/>
    <mergeCell ref="B8:I8"/>
    <mergeCell ref="B20:I20"/>
    <mergeCell ref="B18:I18"/>
    <mergeCell ref="B12:I12"/>
    <mergeCell ref="B50:I50"/>
    <mergeCell ref="B27:I27"/>
    <mergeCell ref="B25:I25"/>
    <mergeCell ref="B16:I16"/>
    <mergeCell ref="B14:I14"/>
    <mergeCell ref="B13:I13"/>
    <mergeCell ref="B23:I23"/>
    <mergeCell ref="B22:I22"/>
    <mergeCell ref="B26:I26"/>
    <mergeCell ref="B28:I28"/>
    <mergeCell ref="B39:I39"/>
    <mergeCell ref="B42:I42"/>
    <mergeCell ref="B40:I40"/>
    <mergeCell ref="B41:I41"/>
    <mergeCell ref="B54:I54"/>
    <mergeCell ref="B53:I53"/>
    <mergeCell ref="B51:I51"/>
    <mergeCell ref="B43:I43"/>
    <mergeCell ref="B44:I44"/>
    <mergeCell ref="B46:I46"/>
    <mergeCell ref="B48:I48"/>
    <mergeCell ref="B45:I45"/>
    <mergeCell ref="B47:I47"/>
  </mergeCells>
  <hyperlinks>
    <hyperlink ref="B43" r:id="rId1" xr:uid="{00000000-0004-0000-0000-000001000000}"/>
    <hyperlink ref="B15" r:id="rId2" xr:uid="{73B36C13-1528-4C32-9A94-C220D359D3C7}"/>
  </hyperlinks>
  <pageMargins left="0.70866141732283472" right="0.70866141732283472" top="0.74803149606299213" bottom="0.74803149606299213" header="0.31496062992125984" footer="0.31496062992125984"/>
  <pageSetup paperSize="9" scale="6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3:M52"/>
  <sheetViews>
    <sheetView showGridLines="0" tabSelected="1" zoomScaleNormal="100" workbookViewId="0">
      <selection activeCell="B1" sqref="B1:J53"/>
    </sheetView>
  </sheetViews>
  <sheetFormatPr baseColWidth="10" defaultColWidth="9.140625" defaultRowHeight="15" x14ac:dyDescent="0.25"/>
  <cols>
    <col min="1" max="1" width="2.5703125" customWidth="1"/>
    <col min="2" max="2" width="26.5703125" customWidth="1"/>
    <col min="3" max="3" width="17.7109375" bestFit="1" customWidth="1"/>
    <col min="4" max="4" width="9.140625" bestFit="1" customWidth="1"/>
    <col min="5" max="5" width="9.5703125" customWidth="1"/>
    <col min="6" max="6" width="21" customWidth="1"/>
    <col min="7" max="7" width="6.5703125" customWidth="1"/>
    <col min="8" max="8" width="4.85546875" bestFit="1" customWidth="1"/>
    <col min="9" max="9" width="8.7109375" customWidth="1"/>
    <col min="10" max="10" width="2.42578125" hidden="1" customWidth="1"/>
    <col min="11" max="11" width="18.42578125" hidden="1" customWidth="1"/>
    <col min="12" max="12" width="11.42578125" customWidth="1"/>
    <col min="13" max="13" width="10" hidden="1" customWidth="1"/>
    <col min="14" max="256" width="11.42578125" customWidth="1"/>
  </cols>
  <sheetData>
    <row r="3" spans="2:13" ht="27.75" x14ac:dyDescent="0.4">
      <c r="B3" s="292" t="s">
        <v>34</v>
      </c>
      <c r="C3" s="292"/>
      <c r="D3" s="292"/>
      <c r="E3" s="292"/>
      <c r="F3" s="292"/>
      <c r="G3" s="292"/>
      <c r="H3" s="292"/>
      <c r="I3" s="292"/>
    </row>
    <row r="4" spans="2:13" ht="20.25" x14ac:dyDescent="0.3">
      <c r="E4" s="3"/>
    </row>
    <row r="5" spans="2:13" ht="20.25" x14ac:dyDescent="0.3">
      <c r="B5" s="295" t="str">
        <f>"Saison "&amp;Param!C2</f>
        <v>Saison 2025-2026</v>
      </c>
      <c r="C5" s="295"/>
      <c r="D5" s="295"/>
      <c r="E5" s="295"/>
      <c r="F5" s="295"/>
      <c r="G5" s="295"/>
      <c r="H5" s="295"/>
      <c r="I5" s="295"/>
    </row>
    <row r="7" spans="2:13" ht="15.75" x14ac:dyDescent="0.25">
      <c r="B7" s="296" t="s">
        <v>35</v>
      </c>
      <c r="C7" s="296"/>
      <c r="D7" s="296"/>
      <c r="E7" s="296"/>
      <c r="F7" s="296"/>
      <c r="G7" s="296"/>
      <c r="H7" s="296"/>
      <c r="I7" s="296"/>
    </row>
    <row r="8" spans="2:13" ht="15.75" x14ac:dyDescent="0.25">
      <c r="B8" s="296" t="s">
        <v>36</v>
      </c>
      <c r="C8" s="296"/>
      <c r="D8" s="296"/>
      <c r="E8" s="296"/>
      <c r="F8" s="296"/>
      <c r="G8" s="296"/>
      <c r="H8" s="296"/>
      <c r="I8" s="296"/>
    </row>
    <row r="10" spans="2:13" ht="23.25" x14ac:dyDescent="0.35">
      <c r="B10" s="294" t="s">
        <v>37</v>
      </c>
      <c r="C10" s="294"/>
      <c r="D10" s="294"/>
      <c r="E10" s="294"/>
      <c r="F10" s="294"/>
      <c r="G10" s="294"/>
      <c r="H10" s="294"/>
      <c r="I10" s="294"/>
    </row>
    <row r="14" spans="2:13" ht="17.25" x14ac:dyDescent="0.25">
      <c r="B14" s="22" t="s">
        <v>38</v>
      </c>
      <c r="C14" s="205" t="s">
        <v>39</v>
      </c>
      <c r="D14" s="301" t="s">
        <v>40</v>
      </c>
      <c r="E14" s="302"/>
      <c r="F14" s="23" t="s">
        <v>41</v>
      </c>
      <c r="G14" s="23" t="s">
        <v>42</v>
      </c>
      <c r="H14" s="23" t="s">
        <v>43</v>
      </c>
      <c r="I14" s="24" t="s">
        <v>44</v>
      </c>
    </row>
    <row r="15" spans="2:13" x14ac:dyDescent="0.25">
      <c r="B15" s="13" t="str">
        <f>IF('Membre 1'!$C$10="","",'Membre 1'!$C$10&amp;" " &amp;'Membre 1'!$F$10)</f>
        <v/>
      </c>
      <c r="C15" s="204" t="str">
        <f>IF(OR(ISBLANK('Membre 1'!$C$7),'Membre 1'!$C$7="Sélectionnez…"),"",'Membre 1'!$C$7)</f>
        <v/>
      </c>
      <c r="D15" s="297" t="str">
        <f>IF('Membre 1'!$C$11="","",'Membre 1'!$C$23)</f>
        <v/>
      </c>
      <c r="E15" s="298"/>
      <c r="F15" s="14" t="str">
        <f>IF(D15="","",'Membre 1'!$F$7)</f>
        <v/>
      </c>
      <c r="G15" s="59" t="str">
        <f>IF(OR('Membre 1'!$C$18="",'Membre 1'!$C$18="Sélectionnez…"),"",IF('Membre 1'!$C$18="Femme","F","H"))</f>
        <v/>
      </c>
      <c r="H15" s="59" t="str">
        <f>IF(B15="","",IF(OR('Membre 1'!$C$36="",'Membre 1'!$C$36="Sélectionnez…"),"Erreur",IF('Membre 1'!$C$36="J'accepte","Oui","Non")))</f>
        <v/>
      </c>
      <c r="I15" s="15" t="str">
        <f>IF(B15="","",IF(H15="Non",(Assurance_Individuelle*-1),0)+IF(G15=Double_compagnie,
Double_compagnie_Tarif,
IF(C15="Adhésion",
IF(F15&lt;&gt;"",
IF(AND(F15&lt;&gt;Double_compagnie,F15&lt;&gt;Découverte),
VLOOKUP(F15,Tarifs_Licence,8,FALSE)+Droit_entrée,
VLOOKUP(F15,Tarifs_Licence,8,FALSE)
),
""
),
IF(F15&lt;&gt;"",
IF(AND(F15&lt;&gt;Double_compagnie,F15&lt;&gt;Découverte),
VLOOKUP(F15,Tarifs_Licence,9,FALSE),
VLOOKUP(F15,Tarifs_Licence,8,FALSE)
),
""
)
)
))</f>
        <v/>
      </c>
      <c r="J15">
        <f>IF(I15="",0,IF(F15="Double compagnie",0,1))</f>
        <v>0</v>
      </c>
      <c r="K15">
        <f>IF('Membre 1'!F25="Oui",1,0)</f>
        <v>0</v>
      </c>
      <c r="M15" t="str">
        <f>IF(G15=Double_compagnie,
       0,
       IF(C15="Adhésion",
            IF(F15&lt;&gt;"",
                 IF(AND(F15&lt;&gt;Double_compagnie,F15&lt;&gt;Découverte),
                      VLOOKUP(F15,Tarifs_Licence,6,FALSE)+Droit_entrée,
                      VLOOKUP(F15,Tarifs_Licence,6,FALSE)
                ),
                 ""
            ),
            IF(F15&lt;&gt;"",
                ROUNDDOWN(VLOOKUP(F15,Tarifs_Licence,6,FALSE)*1,0),
                 ""
            )
        )
 )</f>
        <v/>
      </c>
    </row>
    <row r="16" spans="2:13" x14ac:dyDescent="0.25">
      <c r="B16" s="13" t="str">
        <f>IF('Membre 2'!$C$10="","",'Membre 2'!$C$10&amp;" " &amp;'Membre 2'!$F$10)</f>
        <v/>
      </c>
      <c r="C16" s="204" t="str">
        <f>IF(OR(ISBLANK('Membre 2'!$C$7),'Membre 2'!$C$7="Sélectionnez…"),"",'Membre 2'!$C$7)</f>
        <v/>
      </c>
      <c r="D16" s="297" t="str">
        <f>IF('Membre 2'!$C$11="","",'Membre 2'!$C$23)</f>
        <v/>
      </c>
      <c r="E16" s="298"/>
      <c r="F16" s="14" t="str">
        <f>IF(D16="","",'Membre 2'!$F$7)</f>
        <v/>
      </c>
      <c r="G16" s="59" t="str">
        <f>IF(OR('Membre 2'!$C$18="",'Membre 2'!$C$18="Sélectionnez…"),"",IF('Membre 2'!$C$18="Femme","F","H"))</f>
        <v/>
      </c>
      <c r="H16" s="59" t="str">
        <f>IF(B16="","",IF(OR('Membre 2'!$C$36="",'Membre 2'!$C$36="Sélectionnez…"),"Erreur",IF('Membre 2'!$C$36="J'accepte","Oui","Non")))</f>
        <v/>
      </c>
      <c r="I16" s="15" t="str">
        <f>IF(B16="","",IF(H16="Non",(Assurance_Individuelle*-1),0)+IF(G16=Double_compagnie,
Double_compagnie_Tarif,
IF(C16="Adhésion",
IF(F16&lt;&gt;"",
IF(AND(F16&lt;&gt;Double_compagnie,F16&lt;&gt;Découverte),
VLOOKUP(F16,Tarifs_Licence,8,FALSE)+Droit_entrée,
VLOOKUP(F16,Tarifs_Licence,8,FALSE)
),
""
),
IF(F16&lt;&gt;"",
IF(AND(F16&lt;&gt;Double_compagnie,F16&lt;&gt;Découverte),
VLOOKUP(F16,Tarifs_Licence,9,FALSE),
VLOOKUP(F16,Tarifs_Licence,8,FALSE)
),
""
)
)
))</f>
        <v/>
      </c>
      <c r="J16">
        <f>IF(I16="",0,IF(F16="Double compagnie",0,1))</f>
        <v>0</v>
      </c>
      <c r="K16">
        <f>IF('Membre 2'!F23="Oui",1,0)</f>
        <v>0</v>
      </c>
      <c r="M16" t="str">
        <f>IF(G16=Double_compagnie,
       0,
       IF(C16="Adhésion",
            IF(F16&lt;&gt;"",
                 IF(AND(F16&lt;&gt;Double_compagnie,F16&lt;&gt;Découverte),
                      VLOOKUP(F16,Tarifs_Licence,6,FALSE)+Droit_entrée,
                      VLOOKUP(F16,Tarifs_Licence,6,FALSE)
                ),
                 ""
            ),
            IF(F16&lt;&gt;"",
                ROUNDDOWN(VLOOKUP(F16,Tarifs_Licence,6,FALSE)*1,0),
                 ""
            )
        )
 )</f>
        <v/>
      </c>
    </row>
    <row r="17" spans="2:13" x14ac:dyDescent="0.25">
      <c r="B17" s="13" t="str">
        <f>IF('Membre 3'!$C$10="","",'Membre 3'!$C$10&amp;" " &amp;'Membre 3'!$F$10)</f>
        <v/>
      </c>
      <c r="C17" s="204" t="str">
        <f>IF(OR(ISBLANK('Membre 3'!$C$7),'Membre 3'!$C$7="Sélectionnez…"),"",'Membre 3'!$C$7)</f>
        <v/>
      </c>
      <c r="D17" s="297" t="str">
        <f>IF('Membre 2'!$C$11="","",'Membre 3'!$C$23)</f>
        <v/>
      </c>
      <c r="E17" s="298"/>
      <c r="F17" s="14" t="str">
        <f>IF(D17="","",'Membre 3'!$F$7)</f>
        <v/>
      </c>
      <c r="G17" s="59" t="str">
        <f>IF(OR('Membre 3'!$C$18="",'Membre 3'!$C$18="Sélectionnez…"),"",IF('Membre 3'!$C$18="Femme","F","H"))</f>
        <v/>
      </c>
      <c r="H17" s="59" t="str">
        <f>IF(B17="","",IF(OR('Membre 3'!$C$36="",'Membre 3'!$C$36="Sélectionnez…"),"Erreur",IF('Membre 3'!$C$36="J'accepte","Oui","Non")))</f>
        <v/>
      </c>
      <c r="I17" s="15" t="str">
        <f>IF(B17="","",IF(H17="Non",(Assurance_Individuelle*-1),0)+IF(G17=Double_compagnie,
Double_compagnie_Tarif,
IF(C17="Adhésion",
IF(F17&lt;&gt;"",
IF(AND(F17&lt;&gt;Double_compagnie,F17&lt;&gt;Découverte),
VLOOKUP(F17,Tarifs_Licence,8,FALSE)+Droit_entrée,
VLOOKUP(F17,Tarifs_Licence,8,FALSE)
),
""
),
IF(F17&lt;&gt;"",
IF(AND(F17&lt;&gt;Double_compagnie,F17&lt;&gt;Découverte),
VLOOKUP(F17,Tarifs_Licence,9,FALSE),
VLOOKUP(F17,Tarifs_Licence,8,FALSE)
),
""
)
)
))</f>
        <v/>
      </c>
      <c r="J17">
        <f>IF(I17="",0,IF(F17="Double compagnie",0,1))</f>
        <v>0</v>
      </c>
      <c r="K17">
        <f>IF('Membre 3'!F23="Oui",1,0)</f>
        <v>0</v>
      </c>
      <c r="M17" t="str">
        <f>IF(G17=Double_compagnie,
       0,
       IF(C17="Adhésion",
            IF(F17&lt;&gt;"",
                 IF(AND(F17&lt;&gt;Double_compagnie,F17&lt;&gt;Découverte),
                      VLOOKUP(F17,Tarifs_Licence,6,FALSE)+Droit_entrée,
                      VLOOKUP(F17,Tarifs_Licence,6,FALSE)
                ),
                 ""
            ),
            IF(F17&lt;&gt;"",
                ROUNDDOWN(VLOOKUP(F17,Tarifs_Licence,6,FALSE)*1,0),
                 ""
            )
        )
 )</f>
        <v/>
      </c>
    </row>
    <row r="18" spans="2:13" x14ac:dyDescent="0.25">
      <c r="B18" s="16" t="str">
        <f>IF('Membre 4'!$C$10="","",'Membre 4'!$C$10&amp;" " &amp;'Membre 4'!$F$10)</f>
        <v/>
      </c>
      <c r="C18" s="204" t="str">
        <f>IF(OR(ISBLANK('Membre 4'!$C$7),'Membre 4'!$C$7="Sélectionnez…"),"",'Membre 4'!$C$7)</f>
        <v/>
      </c>
      <c r="D18" s="297" t="str">
        <f>IF('Membre 4'!$C$11="","",'Membre 4'!$C$23)</f>
        <v/>
      </c>
      <c r="E18" s="298"/>
      <c r="F18" s="14" t="str">
        <f>IF(D18="","",'Membre 4'!$F$7)</f>
        <v/>
      </c>
      <c r="G18" s="59" t="str">
        <f>IF(OR('Membre 4'!$C$18="",'Membre 4'!$C$18="Sélectionnez…"),"",IF('Membre 4'!$C$18="Femme","F","H"))</f>
        <v/>
      </c>
      <c r="H18" s="59" t="str">
        <f>IF(B18="","",IF(OR('Membre 4'!$C$36="",'Membre 4'!$C$36="Sélectionnez…"),"Erreur",IF('Membre 4'!$C$36="J'accepte","Oui","Non")))</f>
        <v/>
      </c>
      <c r="I18" s="15" t="str">
        <f>IF(B18="","",IF(H18="Non",(Assurance_Individuelle*-1),0)+IF(G18=Double_compagnie,
Double_compagnie_Tarif,
IF(C18="Adhésion",
IF(F18&lt;&gt;"",
IF(AND(F18&lt;&gt;Double_compagnie,F18&lt;&gt;Découverte),
VLOOKUP(F18,Tarifs_Licence,8,FALSE)+Droit_entrée,
VLOOKUP(F18,Tarifs_Licence,8,FALSE)
),
""
),
IF(F18&lt;&gt;"",
IF(AND(F18&lt;&gt;Double_compagnie,F18&lt;&gt;Découverte),
VLOOKUP(F18,Tarifs_Licence,9,FALSE),
VLOOKUP(F18,Tarifs_Licence,8,FALSE)
),
""
)
)
))</f>
        <v/>
      </c>
      <c r="J18">
        <f>IF(I18="",0,IF(F18="Double compagnie",0,1))</f>
        <v>0</v>
      </c>
      <c r="K18">
        <f>IF('Membre 4'!F23="Oui",1,0)</f>
        <v>0</v>
      </c>
      <c r="M18" t="str">
        <f>IF(G18=Double_compagnie,
       0,
       IF(C18="Adhésion",
            IF(F18&lt;&gt;"",
                 IF(AND(F18&lt;&gt;Double_compagnie,F18&lt;&gt;Découverte),
                      VLOOKUP(F18,Tarifs_Licence,6,FALSE)+Droit_entrée,
                      VLOOKUP(F18,Tarifs_Licence,6,FALSE)
                ),
                 ""
            ),
            IF(F18&lt;&gt;"",
                ROUNDDOWN(VLOOKUP(F18,Tarifs_Licence,6,FALSE)*1,0),
                 ""
            )
        )
 )</f>
        <v/>
      </c>
    </row>
    <row r="19" spans="2:13" x14ac:dyDescent="0.25">
      <c r="B19" s="17" t="str">
        <f>IF('Membre 5'!$C$10="","",'Membre 5'!$C$10&amp;" " &amp;'Membre 5'!$F$10)</f>
        <v/>
      </c>
      <c r="C19" s="206" t="str">
        <f>IF(OR(ISBLANK('Membre 5'!$C$7),'Membre 5'!$C$7="Sélectionnez…"),"",'Membre 5'!$C$7)</f>
        <v/>
      </c>
      <c r="D19" s="299" t="str">
        <f>IF('Membre 5'!$C$11="","",'Membre 5'!$C$23)</f>
        <v/>
      </c>
      <c r="E19" s="300"/>
      <c r="F19" s="18" t="str">
        <f>IF(D19="","",'Membre 5'!$F$7)</f>
        <v/>
      </c>
      <c r="G19" s="60" t="str">
        <f>IF(OR('Membre 5'!$C$18="",'Membre 5'!$C$18="Sélectionnez…"),"",IF('Membre 5'!$C$18="Femme","F","H"))</f>
        <v/>
      </c>
      <c r="H19" s="196" t="str">
        <f>IF(B19="","",IF(OR('Membre 5'!$C$36="",'Membre 5'!$C$36="Sélectionnez…"),"Erreur",IF('Membre 5'!$C$36="J'accepte","Oui","Non")))</f>
        <v/>
      </c>
      <c r="I19" s="19" t="str">
        <f>IF(B19="","",IF(H19="Non",(Assurance_Individuelle*-1),0)+IF(G19=Double_compagnie,
Double_compagnie_Tarif,
IF(C19="Adhésion",
IF(F19&lt;&gt;"",
IF(AND(F19&lt;&gt;Double_compagnie,F19&lt;&gt;Découverte),
VLOOKUP(F19,Tarifs_Licence,8,FALSE)+Droit_entrée,
VLOOKUP(F19,Tarifs_Licence,8,FALSE)
),
""
),
IF(F19&lt;&gt;"",
IF(AND(F19&lt;&gt;Double_compagnie,F19&lt;&gt;Découverte),
VLOOKUP(F19,Tarifs_Licence,9,FALSE),
VLOOKUP(F19,Tarifs_Licence,8,FALSE)
),
""
)
)
))</f>
        <v/>
      </c>
      <c r="J19">
        <f>IF(I19="",0,IF(F19="Double compagnie",0,1))</f>
        <v>0</v>
      </c>
      <c r="K19">
        <f>IF('Membre 5'!F23="Oui",1,0)</f>
        <v>0</v>
      </c>
      <c r="M19" t="str">
        <f>IF(G19=Double_compagnie,
       0,
       IF(C19="Adhésion",
            IF(F19&lt;&gt;"",
                 IF(AND(F19&lt;&gt;Double_compagnie,F19&lt;&gt;Découverte),
                      VLOOKUP(F19,Tarifs_Licence,6,FALSE)+Droit_entrée,
                      VLOOKUP(F19,Tarifs_Licence,6,FALSE)
                ),
                 ""
            ),
            IF(F19&lt;&gt;"",
                ROUNDDOWN(VLOOKUP(F19,Tarifs_Licence,6,FALSE)*1,0),
                 ""
            )
        )
 )</f>
        <v/>
      </c>
    </row>
    <row r="20" spans="2:13" ht="8.1" customHeight="1" x14ac:dyDescent="0.25">
      <c r="B20" s="5"/>
      <c r="C20" s="5"/>
      <c r="D20" s="5"/>
      <c r="E20" s="4"/>
      <c r="F20" s="4"/>
      <c r="G20" s="4"/>
      <c r="H20" s="4"/>
      <c r="I20" s="4"/>
    </row>
    <row r="21" spans="2:13" ht="15.75" customHeight="1" x14ac:dyDescent="0.25">
      <c r="B21" s="51" t="s">
        <v>45</v>
      </c>
      <c r="C21" s="58" t="str">
        <f>IF(J21&lt;2,"",IF(J21=2,Param!B66,Param!B67))</f>
        <v/>
      </c>
      <c r="D21" s="58"/>
      <c r="E21" s="52"/>
      <c r="F21" s="52"/>
      <c r="G21" s="52"/>
      <c r="H21" s="52"/>
      <c r="I21" s="10" t="str">
        <f>IF(J21&lt;2,"",IF(J21=2,-Param!C66,(-Param!C66)-Param!C67*(J21-2)))</f>
        <v/>
      </c>
      <c r="J21">
        <f>SUM(J15:J20)</f>
        <v>0</v>
      </c>
    </row>
    <row r="22" spans="2:13" ht="15.75" customHeight="1" x14ac:dyDescent="0.25">
      <c r="B22" s="269"/>
      <c r="C22" s="270"/>
      <c r="D22" s="270"/>
      <c r="E22" s="271"/>
      <c r="F22" s="303" t="s">
        <v>46</v>
      </c>
      <c r="G22" s="304"/>
      <c r="H22" s="304"/>
      <c r="I22" s="10" t="str">
        <f>IF(ISNA(VLOOKUP(F22,Entraîneur,2,FALSE)),"",VLOOKUP(F22,Entraîneur,2,FALSE)*-1)</f>
        <v/>
      </c>
    </row>
    <row r="23" spans="2:13" x14ac:dyDescent="0.25">
      <c r="B23" s="281" t="s">
        <v>47</v>
      </c>
      <c r="C23" s="281"/>
      <c r="D23" s="281"/>
      <c r="E23" s="281"/>
      <c r="F23" s="281"/>
      <c r="G23" s="286" t="s">
        <v>21</v>
      </c>
      <c r="H23" s="287"/>
      <c r="I23" s="11" t="str">
        <f>IF(SUM(I15:I22)=0,"",SUM(I15:I22))</f>
        <v/>
      </c>
      <c r="M23" s="190" t="str">
        <f>IF(SUM(M15:M19)=0,"",SUM(M15:M19))</f>
        <v/>
      </c>
    </row>
    <row r="24" spans="2:13" ht="15" customHeight="1" x14ac:dyDescent="0.25">
      <c r="B24" s="305" t="s">
        <v>48</v>
      </c>
      <c r="C24" s="305"/>
      <c r="D24" s="305"/>
      <c r="E24" s="305"/>
      <c r="F24" s="305"/>
    </row>
    <row r="26" spans="2:13" ht="8.1" customHeight="1" x14ac:dyDescent="0.25">
      <c r="B26" s="2"/>
      <c r="C26" s="2"/>
      <c r="D26" s="2"/>
    </row>
    <row r="27" spans="2:13" ht="15.75" customHeight="1" x14ac:dyDescent="0.25">
      <c r="B27" s="254" t="s">
        <v>49</v>
      </c>
      <c r="C27" s="20"/>
      <c r="D27" s="20"/>
      <c r="E27" s="293"/>
      <c r="F27" s="293"/>
      <c r="G27" s="293"/>
      <c r="H27" s="192"/>
      <c r="I27" s="25" t="s">
        <v>50</v>
      </c>
    </row>
    <row r="28" spans="2:13" ht="15.75" customHeight="1" x14ac:dyDescent="0.25">
      <c r="B28" s="61" t="s">
        <v>51</v>
      </c>
      <c r="C28" s="279"/>
      <c r="D28" s="280"/>
      <c r="E28" s="280"/>
      <c r="F28" s="280"/>
      <c r="G28" s="280"/>
      <c r="H28" s="193"/>
      <c r="I28" s="44"/>
      <c r="K28" s="115" t="e">
        <f>I23-I36</f>
        <v>#VALUE!</v>
      </c>
    </row>
    <row r="29" spans="2:13" ht="15.75" customHeight="1" x14ac:dyDescent="0.25">
      <c r="B29" s="186" t="s">
        <v>52</v>
      </c>
      <c r="C29" s="187"/>
      <c r="D29" s="188"/>
      <c r="E29" s="188"/>
      <c r="F29" s="188"/>
      <c r="G29" s="188"/>
      <c r="H29" s="188"/>
      <c r="I29" s="189"/>
      <c r="K29" s="115"/>
    </row>
    <row r="30" spans="2:13" ht="15" customHeight="1" x14ac:dyDescent="0.25">
      <c r="B30" s="62" t="s">
        <v>53</v>
      </c>
      <c r="C30" s="283"/>
      <c r="D30" s="284"/>
      <c r="E30" s="284"/>
      <c r="F30" s="284"/>
      <c r="G30" s="284"/>
      <c r="H30" s="191"/>
      <c r="I30" s="45"/>
    </row>
    <row r="31" spans="2:13" ht="15" customHeight="1" x14ac:dyDescent="0.25">
      <c r="B31" s="62" t="s">
        <v>54</v>
      </c>
      <c r="C31" s="283"/>
      <c r="D31" s="284"/>
      <c r="E31" s="284"/>
      <c r="F31" s="284"/>
      <c r="G31" s="284"/>
      <c r="H31" s="191"/>
      <c r="I31" s="45"/>
    </row>
    <row r="32" spans="2:13" ht="15" customHeight="1" x14ac:dyDescent="0.25">
      <c r="B32" s="62" t="s">
        <v>55</v>
      </c>
      <c r="C32" s="283"/>
      <c r="D32" s="284"/>
      <c r="E32" s="284"/>
      <c r="F32" s="284"/>
      <c r="G32" s="284"/>
      <c r="H32" s="191"/>
      <c r="I32" s="45"/>
    </row>
    <row r="33" spans="2:12" ht="15" customHeight="1" x14ac:dyDescent="0.25">
      <c r="B33" s="62" t="s">
        <v>56</v>
      </c>
      <c r="C33" s="117"/>
      <c r="D33" s="105" t="s">
        <v>57</v>
      </c>
      <c r="E33" s="116"/>
      <c r="F33" t="s">
        <v>58</v>
      </c>
      <c r="G33" s="121" t="str">
        <f>IF(C33="","",(C33*E33)*ANCV_Poucentage)</f>
        <v/>
      </c>
      <c r="H33" s="121"/>
      <c r="I33" s="15" t="str">
        <f>IF(C33="","",(E33*C33)-G33)</f>
        <v/>
      </c>
    </row>
    <row r="34" spans="2:12" ht="15" customHeight="1" x14ac:dyDescent="0.25">
      <c r="B34" s="62" t="s">
        <v>59</v>
      </c>
      <c r="C34" s="53"/>
      <c r="D34" s="53"/>
      <c r="E34" s="53"/>
      <c r="F34" s="53"/>
      <c r="G34" s="53"/>
      <c r="H34" s="53"/>
      <c r="I34" s="45"/>
    </row>
    <row r="35" spans="2:12" ht="15" customHeight="1" x14ac:dyDescent="0.25">
      <c r="B35" s="63" t="s">
        <v>60</v>
      </c>
      <c r="C35" s="288"/>
      <c r="D35" s="289"/>
      <c r="E35" s="289"/>
      <c r="F35" s="289"/>
      <c r="G35" s="289"/>
      <c r="H35" s="194"/>
      <c r="I35" s="46"/>
    </row>
    <row r="36" spans="2:12" x14ac:dyDescent="0.25">
      <c r="B36" s="255" t="s">
        <v>61</v>
      </c>
      <c r="F36" s="106"/>
      <c r="G36" s="286" t="s">
        <v>21</v>
      </c>
      <c r="H36" s="287"/>
      <c r="I36" s="11" t="str">
        <f>IF(SUM(I28:I35)=0,"",SUM(I28:I35))</f>
        <v/>
      </c>
      <c r="L36" s="115" t="e">
        <f>I23-I36</f>
        <v>#VALUE!</v>
      </c>
    </row>
    <row r="38" spans="2:12" ht="15.75" customHeight="1" x14ac:dyDescent="0.25">
      <c r="B38" s="51" t="s">
        <v>62</v>
      </c>
      <c r="C38" s="182" t="s">
        <v>63</v>
      </c>
      <c r="D38" s="58"/>
      <c r="E38" s="52"/>
      <c r="F38" s="52"/>
      <c r="G38" s="52"/>
      <c r="H38" s="52"/>
      <c r="I38" s="10" t="str">
        <f>IF(SUM(K15:K19)=0,"",SUM(K15:K19)*Param!C82)</f>
        <v/>
      </c>
      <c r="K38">
        <f>SUM(K15:K20)</f>
        <v>0</v>
      </c>
    </row>
    <row r="39" spans="2:12" ht="9" customHeight="1" x14ac:dyDescent="0.25"/>
    <row r="40" spans="2:12" x14ac:dyDescent="0.25">
      <c r="B40" s="163" t="s">
        <v>64</v>
      </c>
      <c r="C40" s="4"/>
      <c r="D40" s="4"/>
      <c r="E40" s="273" t="s">
        <v>46</v>
      </c>
      <c r="F40" s="274"/>
    </row>
    <row r="41" spans="2:12" ht="9" customHeight="1" x14ac:dyDescent="0.25"/>
    <row r="42" spans="2:12" ht="15" customHeight="1" x14ac:dyDescent="0.25">
      <c r="B42" s="120" t="s">
        <v>65</v>
      </c>
      <c r="C42" s="2"/>
      <c r="D42" s="2"/>
    </row>
    <row r="43" spans="2:12" ht="17.25" x14ac:dyDescent="0.25">
      <c r="B43" s="179" t="s">
        <v>66</v>
      </c>
      <c r="C43" s="275" t="s">
        <v>67</v>
      </c>
      <c r="D43" s="276"/>
      <c r="E43" s="109" t="s">
        <v>50</v>
      </c>
      <c r="F43" s="110" t="s">
        <v>68</v>
      </c>
    </row>
    <row r="44" spans="2:12" x14ac:dyDescent="0.25">
      <c r="B44" s="180"/>
      <c r="C44" s="277"/>
      <c r="D44" s="278"/>
      <c r="E44" s="111"/>
      <c r="F44" s="112"/>
    </row>
    <row r="45" spans="2:12" x14ac:dyDescent="0.25">
      <c r="B45" s="180"/>
      <c r="C45" s="277"/>
      <c r="D45" s="278"/>
      <c r="E45" s="111"/>
      <c r="F45" s="112"/>
    </row>
    <row r="46" spans="2:12" x14ac:dyDescent="0.25">
      <c r="B46" s="180"/>
      <c r="C46" s="277"/>
      <c r="D46" s="278"/>
      <c r="E46" s="111"/>
      <c r="F46" s="112"/>
    </row>
    <row r="47" spans="2:12" x14ac:dyDescent="0.25">
      <c r="B47" s="181"/>
      <c r="C47" s="290"/>
      <c r="D47" s="291"/>
      <c r="E47" s="113"/>
      <c r="F47" s="114"/>
    </row>
    <row r="48" spans="2:12" ht="34.5" customHeight="1" x14ac:dyDescent="0.25">
      <c r="B48" s="281" t="s">
        <v>69</v>
      </c>
      <c r="C48" s="281"/>
      <c r="D48" s="281"/>
      <c r="E48" s="281"/>
    </row>
    <row r="49" spans="2:11" ht="15.75" customHeight="1" x14ac:dyDescent="0.25">
      <c r="B49" s="183"/>
      <c r="C49" s="184"/>
      <c r="D49" s="184"/>
      <c r="E49" s="282"/>
      <c r="F49" s="282"/>
      <c r="G49" s="282"/>
      <c r="H49" s="192"/>
      <c r="I49" s="25" t="s">
        <v>50</v>
      </c>
    </row>
    <row r="50" spans="2:11" ht="15.75" customHeight="1" x14ac:dyDescent="0.25">
      <c r="B50" s="51" t="str">
        <f>"Crédit d'impôt "&amp;YEAR(Param!C15)+1</f>
        <v>Crédit d'impôt 2026</v>
      </c>
      <c r="C50" s="182" t="str">
        <f>IF(M23="","","66% des parts statutaires adhérent + droits d'entrée représentant "&amp;M23&amp;" €, soit")</f>
        <v/>
      </c>
      <c r="D50" s="58"/>
      <c r="E50" s="52"/>
      <c r="F50" s="52"/>
      <c r="G50" s="52"/>
      <c r="H50" s="52"/>
      <c r="I50" s="10" t="str">
        <f>IF(OR(M23=0,M23=""),"",M23*66%)</f>
        <v/>
      </c>
      <c r="K50" t="e">
        <f>SUM(K26:K33)</f>
        <v>#VALUE!</v>
      </c>
    </row>
    <row r="51" spans="2:11" ht="44.25" customHeight="1" x14ac:dyDescent="0.25">
      <c r="B51" s="158"/>
      <c r="C51" s="20"/>
      <c r="D51" s="20"/>
      <c r="E51" s="285"/>
      <c r="F51" s="285"/>
      <c r="G51" s="285"/>
      <c r="H51" s="192"/>
      <c r="I51" s="197"/>
    </row>
    <row r="52" spans="2:11" ht="37.5" customHeight="1" x14ac:dyDescent="0.25">
      <c r="B52" s="272" t="s">
        <v>33</v>
      </c>
      <c r="C52" s="272"/>
      <c r="D52" s="272"/>
      <c r="E52" s="272"/>
      <c r="F52" s="272"/>
      <c r="G52" s="272"/>
      <c r="H52" s="272"/>
      <c r="I52" s="272"/>
    </row>
  </sheetData>
  <sheetProtection selectLockedCells="1"/>
  <mergeCells count="33">
    <mergeCell ref="B24:F24"/>
    <mergeCell ref="C46:D46"/>
    <mergeCell ref="B3:I3"/>
    <mergeCell ref="E27:G27"/>
    <mergeCell ref="B10:I10"/>
    <mergeCell ref="B5:I5"/>
    <mergeCell ref="B7:I7"/>
    <mergeCell ref="B8:I8"/>
    <mergeCell ref="D15:E15"/>
    <mergeCell ref="D16:E16"/>
    <mergeCell ref="D17:E17"/>
    <mergeCell ref="D18:E18"/>
    <mergeCell ref="D19:E19"/>
    <mergeCell ref="D14:E14"/>
    <mergeCell ref="B23:F23"/>
    <mergeCell ref="F22:H22"/>
    <mergeCell ref="G23:H23"/>
    <mergeCell ref="B22:E22"/>
    <mergeCell ref="B52:I52"/>
    <mergeCell ref="E40:F40"/>
    <mergeCell ref="C43:D43"/>
    <mergeCell ref="C44:D44"/>
    <mergeCell ref="C28:G28"/>
    <mergeCell ref="B48:E48"/>
    <mergeCell ref="E49:G49"/>
    <mergeCell ref="C32:G32"/>
    <mergeCell ref="C45:D45"/>
    <mergeCell ref="E51:G51"/>
    <mergeCell ref="G36:H36"/>
    <mergeCell ref="C31:G31"/>
    <mergeCell ref="C35:G35"/>
    <mergeCell ref="C47:D47"/>
    <mergeCell ref="C30:G30"/>
  </mergeCells>
  <conditionalFormatting sqref="E40">
    <cfRule type="cellIs" dxfId="91" priority="2" stopIfTrue="1" operator="equal">
      <formula>"Sélectionnez…"</formula>
    </cfRule>
  </conditionalFormatting>
  <conditionalFormatting sqref="F22">
    <cfRule type="cellIs" dxfId="90" priority="5" stopIfTrue="1" operator="equal">
      <formula>"Sélectionnez…"</formula>
    </cfRule>
  </conditionalFormatting>
  <conditionalFormatting sqref="I23 M23 I36">
    <cfRule type="expression" dxfId="89" priority="9" stopIfTrue="1">
      <formula>$I$23&lt;&gt;$I$36</formula>
    </cfRule>
  </conditionalFormatting>
  <dataValidations count="2">
    <dataValidation type="list" allowBlank="1" showInputMessage="1" showErrorMessage="1" sqref="E40:F40" xr:uid="{00000000-0002-0000-0100-000000000000}">
      <formula1>"Sélectionnez…,Oui pour chaque membre,Oui groupé,Non"</formula1>
    </dataValidation>
    <dataValidation type="list" showInputMessage="1" sqref="F22:H22" xr:uid="{00000000-0002-0000-0100-000001000000}">
      <formula1>Entraîneur_label</formula1>
    </dataValidation>
  </dataValidations>
  <pageMargins left="0.70866141732283472" right="0.70866141732283472" top="0.74803149606299213" bottom="0.74803149606299213" header="0.31496062992125984" footer="0.31496062992125984"/>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pageSetUpPr fitToPage="1"/>
  </sheetPr>
  <dimension ref="B2:G55"/>
  <sheetViews>
    <sheetView showGridLines="0" tabSelected="1" workbookViewId="0">
      <selection activeCell="B1" sqref="B1:J53"/>
    </sheetView>
  </sheetViews>
  <sheetFormatPr baseColWidth="10" defaultColWidth="9.140625" defaultRowHeight="15" x14ac:dyDescent="0.25"/>
  <cols>
    <col min="1" max="1" width="3.140625" customWidth="1"/>
    <col min="2" max="2" width="20.42578125" customWidth="1"/>
    <col min="3" max="3" width="30.42578125" customWidth="1"/>
    <col min="4" max="4" width="1.85546875" customWidth="1"/>
    <col min="5" max="5" width="18.28515625" customWidth="1"/>
    <col min="6" max="6" width="25.5703125" customWidth="1"/>
    <col min="7" max="256" width="11.42578125" customWidth="1"/>
  </cols>
  <sheetData>
    <row r="2" spans="2:6" ht="14.25" customHeight="1" x14ac:dyDescent="0.25"/>
    <row r="3" spans="2:6" ht="27.75" x14ac:dyDescent="0.4">
      <c r="C3" s="292" t="s">
        <v>34</v>
      </c>
      <c r="D3" s="292"/>
      <c r="E3" s="292"/>
      <c r="F3" s="54"/>
    </row>
    <row r="4" spans="2:6" ht="9" customHeight="1" x14ac:dyDescent="0.3">
      <c r="C4" s="3"/>
    </row>
    <row r="5" spans="2:6" ht="20.25" x14ac:dyDescent="0.3">
      <c r="C5" s="295" t="str">
        <f>"Saison "&amp;Param!C2</f>
        <v>Saison 2025-2026</v>
      </c>
      <c r="D5" s="295"/>
      <c r="E5" s="295"/>
      <c r="F5" s="178" t="s">
        <v>70</v>
      </c>
    </row>
    <row r="6" spans="2:6" ht="15.75" x14ac:dyDescent="0.25">
      <c r="C6" s="310"/>
      <c r="D6" s="310"/>
      <c r="E6" s="310"/>
      <c r="F6" s="310"/>
    </row>
    <row r="7" spans="2:6" ht="15.75" x14ac:dyDescent="0.25">
      <c r="B7" s="66" t="s">
        <v>71</v>
      </c>
      <c r="C7" s="67" t="s">
        <v>46</v>
      </c>
      <c r="D7" s="68"/>
      <c r="E7" s="68" t="s">
        <v>41</v>
      </c>
      <c r="F7" s="67"/>
    </row>
    <row r="8" spans="2:6" ht="15.75" x14ac:dyDescent="0.25">
      <c r="B8" s="69" t="s">
        <v>72</v>
      </c>
      <c r="C8" s="70"/>
      <c r="D8" s="71"/>
      <c r="E8" s="72" t="s">
        <v>73</v>
      </c>
      <c r="F8" s="225"/>
    </row>
    <row r="9" spans="2:6" ht="5.0999999999999996" customHeight="1" x14ac:dyDescent="0.25">
      <c r="B9" s="2"/>
      <c r="C9" s="26"/>
      <c r="D9" s="26"/>
      <c r="E9" s="26"/>
      <c r="F9" s="26"/>
    </row>
    <row r="10" spans="2:6" ht="15.75" x14ac:dyDescent="0.25">
      <c r="B10" s="66" t="s">
        <v>74</v>
      </c>
      <c r="C10" s="216"/>
      <c r="D10" s="68"/>
      <c r="E10" s="107" t="s">
        <v>75</v>
      </c>
      <c r="F10" s="73"/>
    </row>
    <row r="11" spans="2:6" ht="15.75" x14ac:dyDescent="0.25">
      <c r="B11" s="74" t="s">
        <v>76</v>
      </c>
      <c r="C11" s="253"/>
      <c r="D11" s="26"/>
      <c r="E11" s="48" t="s">
        <v>77</v>
      </c>
      <c r="F11" s="90"/>
    </row>
    <row r="12" spans="2:6" ht="15.75" x14ac:dyDescent="0.25">
      <c r="B12" s="74" t="s">
        <v>78</v>
      </c>
      <c r="C12" s="218"/>
      <c r="D12" s="26"/>
      <c r="E12" s="165" t="s">
        <v>79</v>
      </c>
      <c r="F12" s="90"/>
    </row>
    <row r="13" spans="2:6" ht="15.75" x14ac:dyDescent="0.25">
      <c r="B13" s="74" t="s">
        <v>80</v>
      </c>
      <c r="C13" s="219"/>
      <c r="D13" s="26"/>
      <c r="E13" s="165" t="s">
        <v>81</v>
      </c>
      <c r="F13" s="90"/>
    </row>
    <row r="14" spans="2:6" ht="5.0999999999999996" customHeight="1" x14ac:dyDescent="0.25">
      <c r="B14" s="2"/>
      <c r="C14" s="26"/>
      <c r="D14" s="26"/>
      <c r="E14" s="26"/>
      <c r="F14" s="26"/>
    </row>
    <row r="15" spans="2:6" ht="15.75" x14ac:dyDescent="0.25">
      <c r="B15" s="74" t="s">
        <v>82</v>
      </c>
      <c r="C15" s="311"/>
      <c r="D15" s="312"/>
      <c r="E15" s="312"/>
      <c r="F15" s="313"/>
    </row>
    <row r="16" spans="2:6" ht="15.75" x14ac:dyDescent="0.25">
      <c r="B16" s="74" t="s">
        <v>83</v>
      </c>
      <c r="C16" s="311"/>
      <c r="D16" s="312"/>
      <c r="E16" s="312"/>
      <c r="F16" s="313"/>
    </row>
    <row r="17" spans="2:6" ht="15.75" x14ac:dyDescent="0.25">
      <c r="B17" s="74" t="s">
        <v>84</v>
      </c>
      <c r="C17" s="319"/>
      <c r="D17" s="312"/>
      <c r="E17" s="312"/>
      <c r="F17" s="313"/>
    </row>
    <row r="18" spans="2:6" ht="15.75" x14ac:dyDescent="0.25">
      <c r="B18" s="208" t="s">
        <v>85</v>
      </c>
      <c r="C18" s="168" t="s">
        <v>46</v>
      </c>
      <c r="D18" s="210"/>
      <c r="E18" s="209" t="s">
        <v>86</v>
      </c>
      <c r="F18" s="212"/>
    </row>
    <row r="19" spans="2:6" ht="15.75" x14ac:dyDescent="0.25">
      <c r="B19" s="83" t="s">
        <v>87</v>
      </c>
      <c r="C19" s="211"/>
      <c r="D19" s="71"/>
      <c r="E19" s="108" t="s">
        <v>88</v>
      </c>
      <c r="F19" s="212"/>
    </row>
    <row r="20" spans="2:6" ht="5.0999999999999996" customHeight="1" x14ac:dyDescent="0.25">
      <c r="B20" s="2"/>
      <c r="C20" s="26"/>
      <c r="D20" s="26"/>
      <c r="E20" s="26"/>
      <c r="F20" s="26"/>
    </row>
    <row r="21" spans="2:6" ht="34.5" customHeight="1" x14ac:dyDescent="0.25">
      <c r="B21" s="317" t="s">
        <v>89</v>
      </c>
      <c r="C21" s="318"/>
      <c r="D21" s="318"/>
      <c r="E21" s="318"/>
      <c r="F21" s="77" t="s">
        <v>46</v>
      </c>
    </row>
    <row r="22" spans="2:6" ht="5.0999999999999996" customHeight="1" x14ac:dyDescent="0.25">
      <c r="B22" s="2"/>
      <c r="C22" s="26"/>
      <c r="D22" s="26"/>
      <c r="E22" s="26"/>
      <c r="F22" s="26"/>
    </row>
    <row r="23" spans="2:6" ht="15.75" x14ac:dyDescent="0.25">
      <c r="B23" s="78" t="s">
        <v>40</v>
      </c>
      <c r="C23" s="79" t="str">
        <f>IF(ISNA(VLOOKUP(C11,Catégorie,2,TRUE)),"",VLOOKUP(C11,Catégorie,3,TRUE))</f>
        <v/>
      </c>
      <c r="D23" s="68"/>
      <c r="E23" s="9" t="s">
        <v>90</v>
      </c>
      <c r="F23" s="82" t="s">
        <v>46</v>
      </c>
    </row>
    <row r="24" spans="2:6" ht="15.75" x14ac:dyDescent="0.25">
      <c r="B24" s="81" t="s">
        <v>91</v>
      </c>
      <c r="C24" s="47"/>
      <c r="D24" s="26"/>
      <c r="E24" s="9" t="s">
        <v>92</v>
      </c>
      <c r="F24" s="212"/>
    </row>
    <row r="25" spans="2:6" ht="31.5" x14ac:dyDescent="0.25">
      <c r="B25" s="81" t="s">
        <v>93</v>
      </c>
      <c r="C25" s="47" t="s">
        <v>46</v>
      </c>
      <c r="D25" s="26"/>
      <c r="E25" s="9" t="s">
        <v>94</v>
      </c>
      <c r="F25" s="47" t="s">
        <v>46</v>
      </c>
    </row>
    <row r="26" spans="2:6" ht="15.75" x14ac:dyDescent="0.25">
      <c r="B26" s="83" t="s">
        <v>95</v>
      </c>
      <c r="C26" s="80" t="s">
        <v>46</v>
      </c>
      <c r="D26" s="71"/>
      <c r="E26" s="108" t="s">
        <v>96</v>
      </c>
      <c r="F26" s="84"/>
    </row>
    <row r="27" spans="2:6" ht="4.5" customHeight="1" x14ac:dyDescent="0.25">
      <c r="B27" s="2"/>
      <c r="C27" s="26"/>
      <c r="D27" s="26"/>
      <c r="E27" s="26"/>
      <c r="F27" s="26"/>
    </row>
    <row r="28" spans="2:6" ht="15.75" x14ac:dyDescent="0.25">
      <c r="B28" s="66" t="s">
        <v>97</v>
      </c>
      <c r="C28" s="87" t="s">
        <v>98</v>
      </c>
      <c r="D28" s="88"/>
      <c r="E28" s="85"/>
      <c r="F28" s="97" t="s">
        <v>99</v>
      </c>
    </row>
    <row r="29" spans="2:6" ht="15.75" x14ac:dyDescent="0.25">
      <c r="B29" s="74"/>
      <c r="C29" s="164" t="s">
        <v>100</v>
      </c>
      <c r="D29" s="165"/>
      <c r="E29" s="168" t="s">
        <v>46</v>
      </c>
      <c r="F29" s="166" t="s">
        <v>101</v>
      </c>
    </row>
    <row r="30" spans="2:6" ht="15.75" x14ac:dyDescent="0.25">
      <c r="B30" s="74"/>
      <c r="C30" s="164" t="s">
        <v>102</v>
      </c>
      <c r="D30" s="2"/>
      <c r="E30" s="214" t="s">
        <v>46</v>
      </c>
      <c r="F30" s="215" t="s">
        <v>101</v>
      </c>
    </row>
    <row r="31" spans="2:6" ht="15.75" x14ac:dyDescent="0.25">
      <c r="B31" s="213" t="s">
        <v>103</v>
      </c>
      <c r="C31" s="164" t="s">
        <v>104</v>
      </c>
      <c r="E31" s="167" t="s">
        <v>46</v>
      </c>
      <c r="F31" s="95" t="s">
        <v>101</v>
      </c>
    </row>
    <row r="32" spans="2:6" ht="5.0999999999999996" customHeight="1" x14ac:dyDescent="0.25">
      <c r="B32" s="2"/>
      <c r="C32" s="86"/>
      <c r="D32" s="2"/>
      <c r="E32" s="86"/>
      <c r="F32" s="86"/>
    </row>
    <row r="33" spans="2:6" ht="15.75" x14ac:dyDescent="0.25">
      <c r="B33" s="94" t="s">
        <v>105</v>
      </c>
      <c r="C33" s="314" t="s">
        <v>46</v>
      </c>
      <c r="D33" s="315"/>
      <c r="E33" s="316"/>
      <c r="F33" s="96" t="s">
        <v>106</v>
      </c>
    </row>
    <row r="34" spans="2:6" ht="27" customHeight="1" x14ac:dyDescent="0.25">
      <c r="B34" s="306" t="s">
        <v>107</v>
      </c>
      <c r="C34" s="306"/>
      <c r="D34" s="306"/>
      <c r="E34" s="306"/>
      <c r="F34" s="306"/>
    </row>
    <row r="35" spans="2:6" ht="5.25" customHeight="1" x14ac:dyDescent="0.25">
      <c r="B35" s="86"/>
      <c r="C35" s="86"/>
      <c r="D35" s="86"/>
      <c r="E35" s="89"/>
      <c r="F35" s="89"/>
    </row>
    <row r="36" spans="2:6" ht="15.75" x14ac:dyDescent="0.25">
      <c r="B36" s="195" t="s">
        <v>108</v>
      </c>
      <c r="C36" s="322" t="s">
        <v>46</v>
      </c>
      <c r="D36" s="323"/>
      <c r="E36" s="321" t="str">
        <f>"Prise de l'assurance individuelle accident (incluse : "&amp;Assurance_Individuelle&amp;"€) ou non"</f>
        <v>Prise de l'assurance individuelle accident (incluse : 0,28€) ou non</v>
      </c>
      <c r="F36" s="321"/>
    </row>
    <row r="37" spans="2:6" ht="5.25" customHeight="1" x14ac:dyDescent="0.25">
      <c r="B37" s="86"/>
      <c r="C37" s="86"/>
      <c r="D37" s="86"/>
      <c r="E37" s="89"/>
      <c r="F37" s="89"/>
    </row>
    <row r="38" spans="2:6" ht="15.75" customHeight="1" x14ac:dyDescent="0.25">
      <c r="B38" s="119" t="s">
        <v>109</v>
      </c>
      <c r="C38" s="314" t="s">
        <v>46</v>
      </c>
      <c r="D38" s="320"/>
      <c r="E38" s="175" t="s">
        <v>110</v>
      </c>
      <c r="F38" s="177" t="s">
        <v>46</v>
      </c>
    </row>
    <row r="39" spans="2:6" ht="6.6" customHeight="1" x14ac:dyDescent="0.25">
      <c r="B39" s="161"/>
      <c r="C39" s="162"/>
      <c r="D39" s="161"/>
      <c r="E39" s="162"/>
      <c r="F39" s="162"/>
    </row>
    <row r="40" spans="2:6" ht="15.75" x14ac:dyDescent="0.25">
      <c r="B40" s="6" t="s">
        <v>111</v>
      </c>
      <c r="D40" s="2"/>
    </row>
    <row r="41" spans="2:6" ht="5.0999999999999996" customHeight="1" x14ac:dyDescent="0.25">
      <c r="B41" s="2"/>
      <c r="D41" s="2"/>
    </row>
    <row r="42" spans="2:6" ht="15.75" customHeight="1" x14ac:dyDescent="0.25">
      <c r="B42" s="86"/>
      <c r="C42" s="86"/>
      <c r="D42" s="86"/>
      <c r="E42" s="89"/>
      <c r="F42" s="89"/>
    </row>
    <row r="43" spans="2:6" ht="15.75" x14ac:dyDescent="0.25">
      <c r="B43" s="2"/>
      <c r="D43" s="2"/>
    </row>
    <row r="45" spans="2:6" ht="15.75" x14ac:dyDescent="0.25">
      <c r="B45" s="2"/>
      <c r="D45" s="2"/>
    </row>
    <row r="46" spans="2:6" ht="15.75" x14ac:dyDescent="0.25">
      <c r="B46" s="2"/>
      <c r="D46" s="2"/>
    </row>
    <row r="47" spans="2:6" ht="15.75" x14ac:dyDescent="0.25">
      <c r="B47" s="309" t="s">
        <v>112</v>
      </c>
      <c r="C47" s="309"/>
      <c r="D47" s="309"/>
      <c r="E47" s="309"/>
      <c r="F47" s="309"/>
    </row>
    <row r="48" spans="2:6" ht="5.0999999999999996" customHeight="1" x14ac:dyDescent="0.25">
      <c r="B48" s="2"/>
      <c r="D48" s="2"/>
    </row>
    <row r="49" spans="2:7" ht="15.75" x14ac:dyDescent="0.25">
      <c r="B49" s="48" t="str">
        <f>"Je, soussigné(e)"</f>
        <v>Je, soussigné(e)</v>
      </c>
      <c r="C49" s="49" t="s">
        <v>113</v>
      </c>
      <c r="D49" s="43"/>
      <c r="E49" s="48" t="s">
        <v>114</v>
      </c>
      <c r="F49" s="50" t="s">
        <v>46</v>
      </c>
    </row>
    <row r="50" spans="2:7" ht="47.25" customHeight="1" x14ac:dyDescent="0.25">
      <c r="B50" s="308" t="str">
        <f>"déclare inscrire "&amp;IF(C11&gt;=Param!C9,C10&amp;" "&amp;F10,".......................")&amp;" au club de Tir à l’Arc « Les Archers du Phénix », et je lui donne, par la présente, l’autorisation de pratiquer le tir à l’arc, tant en loisir qu’en compétition. J’ai pris bonne note du règlement intérieur de l’Association."</f>
        <v>déclare inscrire ....................... au club de Tir à l’Arc « Les Archers du Phénix », et je lui donne, par la présente, l’autorisation de pratiquer le tir à l’arc, tant en loisir qu’en compétition. J’ai pris bonne note du règlement intérieur de l’Association.</v>
      </c>
      <c r="C50" s="308"/>
      <c r="D50" s="308"/>
      <c r="E50" s="308"/>
      <c r="F50" s="308"/>
    </row>
    <row r="51" spans="2:7" ht="4.5" customHeight="1" x14ac:dyDescent="0.25">
      <c r="B51" s="2"/>
      <c r="D51" s="2"/>
    </row>
    <row r="52" spans="2:7" ht="15.75" x14ac:dyDescent="0.25">
      <c r="B52" s="78" t="s">
        <v>115</v>
      </c>
      <c r="C52" s="75"/>
      <c r="D52" s="68"/>
      <c r="E52" s="107" t="s">
        <v>116</v>
      </c>
      <c r="F52" s="76"/>
    </row>
    <row r="53" spans="2:7" ht="15.75" x14ac:dyDescent="0.25">
      <c r="B53" s="69" t="s">
        <v>117</v>
      </c>
      <c r="C53" s="75"/>
      <c r="D53" s="71"/>
      <c r="E53" s="108" t="s">
        <v>118</v>
      </c>
      <c r="F53" s="76"/>
    </row>
    <row r="55" spans="2:7" ht="37.5" customHeight="1" x14ac:dyDescent="0.25">
      <c r="B55" s="307" t="s">
        <v>33</v>
      </c>
      <c r="C55" s="307"/>
      <c r="D55" s="307"/>
      <c r="E55" s="307"/>
      <c r="F55" s="307"/>
      <c r="G55" s="64"/>
    </row>
  </sheetData>
  <sheetProtection selectLockedCells="1"/>
  <mergeCells count="15">
    <mergeCell ref="C3:E3"/>
    <mergeCell ref="C5:E5"/>
    <mergeCell ref="B34:F34"/>
    <mergeCell ref="B55:F55"/>
    <mergeCell ref="B50:F50"/>
    <mergeCell ref="B47:F47"/>
    <mergeCell ref="C6:F6"/>
    <mergeCell ref="C15:F15"/>
    <mergeCell ref="C33:E33"/>
    <mergeCell ref="B21:E21"/>
    <mergeCell ref="C16:F16"/>
    <mergeCell ref="C17:F17"/>
    <mergeCell ref="C38:D38"/>
    <mergeCell ref="E36:F36"/>
    <mergeCell ref="C36:D36"/>
  </mergeCells>
  <conditionalFormatting sqref="C7">
    <cfRule type="cellIs" dxfId="88" priority="15" stopIfTrue="1" operator="equal">
      <formula>"Sélectionnez…"</formula>
    </cfRule>
  </conditionalFormatting>
  <conditionalFormatting sqref="C18">
    <cfRule type="cellIs" dxfId="87" priority="11" stopIfTrue="1" operator="equal">
      <formula>"Sélectionnez…"</formula>
    </cfRule>
  </conditionalFormatting>
  <conditionalFormatting sqref="C24:C26">
    <cfRule type="cellIs" dxfId="86" priority="1" stopIfTrue="1" operator="equal">
      <formula>"Sélectionnez…"</formula>
    </cfRule>
  </conditionalFormatting>
  <conditionalFormatting sqref="C36">
    <cfRule type="cellIs" dxfId="85" priority="4" stopIfTrue="1" operator="equal">
      <formula>"Sélectionnez…"</formula>
    </cfRule>
  </conditionalFormatting>
  <conditionalFormatting sqref="C38">
    <cfRule type="cellIs" dxfId="84" priority="30" stopIfTrue="1" operator="equal">
      <formula>"Sélectionnez…"</formula>
    </cfRule>
  </conditionalFormatting>
  <conditionalFormatting sqref="C49">
    <cfRule type="cellIs" dxfId="83" priority="44" stopIfTrue="1" operator="notEqual">
      <formula>"Nom &amp; prénom"</formula>
    </cfRule>
    <cfRule type="cellIs" dxfId="82" priority="45" stopIfTrue="1" operator="equal">
      <formula>"Nom &amp; prénom"</formula>
    </cfRule>
    <cfRule type="cellIs" dxfId="81" priority="49" stopIfTrue="1" operator="notEqual">
      <formula>"Nom &amp; prénom"</formula>
    </cfRule>
  </conditionalFormatting>
  <conditionalFormatting sqref="E29:E31">
    <cfRule type="cellIs" dxfId="80" priority="5" stopIfTrue="1" operator="equal">
      <formula>"Sélectionnez…"</formula>
    </cfRule>
  </conditionalFormatting>
  <conditionalFormatting sqref="E35">
    <cfRule type="cellIs" dxfId="79" priority="2" stopIfTrue="1" operator="equal">
      <formula>"Sélectionnez…"</formula>
    </cfRule>
  </conditionalFormatting>
  <conditionalFormatting sqref="E37">
    <cfRule type="cellIs" dxfId="78" priority="3" stopIfTrue="1" operator="equal">
      <formula>"Sélectionnez…"</formula>
    </cfRule>
  </conditionalFormatting>
  <conditionalFormatting sqref="F7">
    <cfRule type="cellIs" dxfId="77" priority="13" operator="equal">
      <formula>"Sélectionnez…"</formula>
    </cfRule>
  </conditionalFormatting>
  <conditionalFormatting sqref="F11:F13 F23">
    <cfRule type="cellIs" dxfId="76" priority="17" stopIfTrue="1" operator="equal">
      <formula>"Sélectionnez…"</formula>
    </cfRule>
  </conditionalFormatting>
  <conditionalFormatting sqref="F21 C33 E42">
    <cfRule type="cellIs" dxfId="75" priority="61" stopIfTrue="1" operator="equal">
      <formula>"Sélectionnez…"</formula>
    </cfRule>
  </conditionalFormatting>
  <conditionalFormatting sqref="F25:F26">
    <cfRule type="cellIs" dxfId="74" priority="7" stopIfTrue="1" operator="equal">
      <formula>"Sélectionnez…"</formula>
    </cfRule>
  </conditionalFormatting>
  <conditionalFormatting sqref="F38">
    <cfRule type="cellIs" dxfId="73" priority="22" stopIfTrue="1" operator="equal">
      <formula>"Sélectionnez…"</formula>
    </cfRule>
  </conditionalFormatting>
  <conditionalFormatting sqref="F49">
    <cfRule type="cellIs" dxfId="72" priority="48" stopIfTrue="1" operator="equal">
      <formula>"Sélectionnez…"</formula>
    </cfRule>
  </conditionalFormatting>
  <dataValidations count="15">
    <dataValidation type="list" allowBlank="1" sqref="F49" xr:uid="{00000000-0002-0000-0200-000000000000}">
      <formula1>"Sélectionnez…,Père,Mère,Curateur,Tuteur"</formula1>
    </dataValidation>
    <dataValidation allowBlank="1" showInputMessage="1" showErrorMessage="1" prompt="Saisir votre Nom et Prénom" sqref="C49" xr:uid="{00000000-0002-0000-0200-000001000000}"/>
    <dataValidation type="list" allowBlank="1" showInputMessage="1" showErrorMessage="1" sqref="E29:E31 E42 F25 E37 F21 E35" xr:uid="{00000000-0002-0000-0200-000002000000}">
      <formula1>"Sélectionnez…,Oui,Non"</formula1>
    </dataValidation>
    <dataValidation type="list" allowBlank="1" showInputMessage="1" showErrorMessage="1" sqref="C25" xr:uid="{00000000-0002-0000-0200-000003000000}">
      <formula1>"Sélectionnez…,S,M,L,XL,XXL"</formula1>
    </dataValidation>
    <dataValidation type="list" allowBlank="1" showInputMessage="1" showErrorMessage="1" sqref="F23" xr:uid="{00000000-0002-0000-0200-000004000000}">
      <formula1>"Sélectionnez…,Droit,Gauche,Les deux"</formula1>
    </dataValidation>
    <dataValidation type="list" allowBlank="1" showInputMessage="1" showErrorMessage="1" sqref="C7" xr:uid="{00000000-0002-0000-0200-000005000000}">
      <formula1>"Sélectionnez…,Adhésion,Renouvellement"</formula1>
    </dataValidation>
    <dataValidation allowBlank="1" showInputMessage="1" sqref="F11:F13" xr:uid="{00000000-0002-0000-0200-000006000000}"/>
    <dataValidation type="list" allowBlank="1" showInputMessage="1" showErrorMessage="1" sqref="C18" xr:uid="{00000000-0002-0000-0200-000007000000}">
      <formula1>"Sélectionnez…,Femme,Homme"</formula1>
    </dataValidation>
    <dataValidation type="list" allowBlank="1" showInputMessage="1" showErrorMessage="1" sqref="C33" xr:uid="{00000000-0002-0000-0200-000008000000}">
      <formula1>"Sélectionnez…,Satuts &amp; Règlement Intérieur de l'association,Satuts de l'association,Règlement Intérieur de l'association,"</formula1>
    </dataValidation>
    <dataValidation type="list" allowBlank="1" showInputMessage="1" showErrorMessage="1" sqref="F7" xr:uid="{00000000-0002-0000-0200-000009000000}">
      <formula1>Licence</formula1>
    </dataValidation>
    <dataValidation type="list" allowBlank="1" showInputMessage="1" showErrorMessage="1" sqref="C26" xr:uid="{00000000-0002-0000-0200-00000A000000}">
      <formula1>Categories_arc</formula1>
    </dataValidation>
    <dataValidation type="list" allowBlank="1" showInputMessage="1" showErrorMessage="1" sqref="C38:D38" xr:uid="{00000000-0002-0000-0200-00000B000000}">
      <formula1>"Sélectionnez…,Loisir,Quelques sorties concours,Compétition/Equipe"</formula1>
    </dataValidation>
    <dataValidation type="list" allowBlank="1" showInputMessage="1" showErrorMessage="1" sqref="F26" xr:uid="{00000000-0002-0000-0200-00000C000000}">
      <formula1>Jour_entrainement</formula1>
    </dataValidation>
    <dataValidation type="list" allowBlank="1" showInputMessage="1" showErrorMessage="1" sqref="F38" xr:uid="{00000000-0002-0000-0200-00000D000000}">
      <formula1>Niveau_Distinction</formula1>
    </dataValidation>
    <dataValidation type="list" allowBlank="1" showInputMessage="1" showErrorMessage="1" sqref="C36:D36" xr:uid="{00000000-0002-0000-0200-00000E000000}">
      <formula1>"Sélectionnez…,J'accepte,Je refuse"</formula1>
    </dataValidation>
  </dataValidations>
  <pageMargins left="0.70866141732283472" right="0.70866141732283472" top="0.74803149606299213" bottom="0.74803149606299213" header="0.31496062992125984" footer="0.31496062992125984"/>
  <pageSetup paperSize="9" scale="9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pageSetUpPr fitToPage="1"/>
  </sheetPr>
  <dimension ref="B2:G55"/>
  <sheetViews>
    <sheetView showGridLines="0" workbookViewId="0">
      <selection activeCell="L27" sqref="L27"/>
    </sheetView>
  </sheetViews>
  <sheetFormatPr baseColWidth="10" defaultColWidth="9.140625" defaultRowHeight="15" x14ac:dyDescent="0.25"/>
  <cols>
    <col min="1" max="1" width="3.140625" customWidth="1"/>
    <col min="2" max="2" width="20.42578125" customWidth="1"/>
    <col min="3" max="3" width="30.42578125" customWidth="1"/>
    <col min="4" max="4" width="1.85546875" customWidth="1"/>
    <col min="5" max="5" width="18.28515625" customWidth="1"/>
    <col min="6" max="6" width="25.5703125" customWidth="1"/>
    <col min="7" max="256" width="11.42578125" customWidth="1"/>
  </cols>
  <sheetData>
    <row r="2" spans="2:6" ht="14.25" customHeight="1" x14ac:dyDescent="0.25"/>
    <row r="3" spans="2:6" ht="27.75" x14ac:dyDescent="0.4">
      <c r="C3" s="292" t="s">
        <v>34</v>
      </c>
      <c r="D3" s="292"/>
      <c r="E3" s="292"/>
      <c r="F3" s="54"/>
    </row>
    <row r="4" spans="2:6" ht="9" customHeight="1" x14ac:dyDescent="0.3">
      <c r="C4" s="3"/>
    </row>
    <row r="5" spans="2:6" ht="20.25" x14ac:dyDescent="0.3">
      <c r="C5" s="295" t="str">
        <f>"Saison "&amp;Param!C2</f>
        <v>Saison 2025-2026</v>
      </c>
      <c r="D5" s="295"/>
      <c r="E5" s="295"/>
      <c r="F5" s="178" t="s">
        <v>70</v>
      </c>
    </row>
    <row r="6" spans="2:6" ht="15" customHeight="1" x14ac:dyDescent="0.3">
      <c r="B6" s="7"/>
      <c r="C6" s="7"/>
      <c r="D6" s="7"/>
      <c r="E6" s="7"/>
      <c r="F6" s="7"/>
    </row>
    <row r="7" spans="2:6" ht="15.75" x14ac:dyDescent="0.25">
      <c r="B7" s="66" t="s">
        <v>71</v>
      </c>
      <c r="C7" s="67" t="s">
        <v>46</v>
      </c>
      <c r="D7" s="68"/>
      <c r="E7" s="68" t="s">
        <v>41</v>
      </c>
      <c r="F7" s="67" t="s">
        <v>46</v>
      </c>
    </row>
    <row r="8" spans="2:6" ht="15.75" x14ac:dyDescent="0.25">
      <c r="B8" s="69" t="s">
        <v>72</v>
      </c>
      <c r="C8" s="70"/>
      <c r="D8" s="71"/>
      <c r="E8" s="72" t="s">
        <v>73</v>
      </c>
      <c r="F8" s="73"/>
    </row>
    <row r="9" spans="2:6" ht="5.0999999999999996" customHeight="1" x14ac:dyDescent="0.25">
      <c r="B9" s="2"/>
      <c r="C9" s="26"/>
      <c r="D9" s="26"/>
      <c r="E9" s="26"/>
      <c r="F9" s="26"/>
    </row>
    <row r="10" spans="2:6" ht="15.75" x14ac:dyDescent="0.25">
      <c r="B10" s="66" t="s">
        <v>74</v>
      </c>
      <c r="C10" s="216"/>
      <c r="D10" s="68"/>
      <c r="E10" s="107" t="s">
        <v>75</v>
      </c>
      <c r="F10" s="73"/>
    </row>
    <row r="11" spans="2:6" ht="15.75" x14ac:dyDescent="0.25">
      <c r="B11" s="74" t="s">
        <v>76</v>
      </c>
      <c r="C11" s="253"/>
      <c r="D11" s="26"/>
      <c r="E11" s="48" t="s">
        <v>77</v>
      </c>
      <c r="F11" s="90"/>
    </row>
    <row r="12" spans="2:6" ht="15.75" x14ac:dyDescent="0.25">
      <c r="B12" s="74" t="s">
        <v>78</v>
      </c>
      <c r="C12" s="218"/>
      <c r="D12" s="26"/>
      <c r="E12" s="165" t="s">
        <v>79</v>
      </c>
      <c r="F12" s="90"/>
    </row>
    <row r="13" spans="2:6" ht="15.75" x14ac:dyDescent="0.25">
      <c r="B13" s="74" t="s">
        <v>80</v>
      </c>
      <c r="C13" s="219"/>
      <c r="D13" s="26"/>
      <c r="E13" s="165" t="s">
        <v>81</v>
      </c>
      <c r="F13" s="90"/>
    </row>
    <row r="14" spans="2:6" ht="5.0999999999999996" customHeight="1" x14ac:dyDescent="0.25">
      <c r="B14" s="2"/>
      <c r="C14" s="26"/>
      <c r="D14" s="26"/>
      <c r="E14" s="26"/>
      <c r="F14" s="26"/>
    </row>
    <row r="15" spans="2:6" ht="15.75" x14ac:dyDescent="0.25">
      <c r="B15" s="74" t="s">
        <v>82</v>
      </c>
      <c r="C15" s="311"/>
      <c r="D15" s="312"/>
      <c r="E15" s="312"/>
      <c r="F15" s="313"/>
    </row>
    <row r="16" spans="2:6" ht="15.75" x14ac:dyDescent="0.25">
      <c r="B16" s="74" t="s">
        <v>83</v>
      </c>
      <c r="C16" s="311"/>
      <c r="D16" s="312"/>
      <c r="E16" s="312"/>
      <c r="F16" s="313"/>
    </row>
    <row r="17" spans="2:6" ht="15.75" x14ac:dyDescent="0.25">
      <c r="B17" s="74" t="s">
        <v>84</v>
      </c>
      <c r="C17" s="319"/>
      <c r="D17" s="312"/>
      <c r="E17" s="312"/>
      <c r="F17" s="313"/>
    </row>
    <row r="18" spans="2:6" ht="15.75" x14ac:dyDescent="0.25">
      <c r="B18" s="208" t="s">
        <v>85</v>
      </c>
      <c r="C18" s="168" t="s">
        <v>46</v>
      </c>
      <c r="D18" s="210"/>
      <c r="E18" s="209" t="s">
        <v>86</v>
      </c>
      <c r="F18" s="212"/>
    </row>
    <row r="19" spans="2:6" ht="15.75" x14ac:dyDescent="0.25">
      <c r="B19" s="83" t="s">
        <v>87</v>
      </c>
      <c r="C19" s="211"/>
      <c r="D19" s="71"/>
      <c r="E19" s="108" t="s">
        <v>88</v>
      </c>
      <c r="F19" s="223"/>
    </row>
    <row r="20" spans="2:6" ht="5.0999999999999996" customHeight="1" x14ac:dyDescent="0.25">
      <c r="B20" s="2"/>
      <c r="C20" s="26"/>
      <c r="D20" s="26"/>
      <c r="E20" s="26"/>
      <c r="F20" s="26"/>
    </row>
    <row r="21" spans="2:6" ht="34.5" customHeight="1" x14ac:dyDescent="0.25">
      <c r="B21" s="317" t="s">
        <v>89</v>
      </c>
      <c r="C21" s="318"/>
      <c r="D21" s="318"/>
      <c r="E21" s="318"/>
      <c r="F21" s="77" t="s">
        <v>46</v>
      </c>
    </row>
    <row r="22" spans="2:6" ht="5.0999999999999996" customHeight="1" x14ac:dyDescent="0.25">
      <c r="B22" s="2"/>
      <c r="C22" s="26"/>
      <c r="D22" s="26"/>
      <c r="E22" s="26"/>
      <c r="F22" s="26"/>
    </row>
    <row r="23" spans="2:6" ht="15.75" x14ac:dyDescent="0.25">
      <c r="B23" s="78" t="s">
        <v>40</v>
      </c>
      <c r="C23" s="79" t="str">
        <f>IF(ISNA(VLOOKUP(C11,Catégorie,2,TRUE)),"",VLOOKUP(C11,Catégorie,3,TRUE))</f>
        <v/>
      </c>
      <c r="D23" s="68"/>
      <c r="E23" s="9" t="s">
        <v>90</v>
      </c>
      <c r="F23" s="82" t="s">
        <v>46</v>
      </c>
    </row>
    <row r="24" spans="2:6" ht="15.75" x14ac:dyDescent="0.25">
      <c r="B24" s="81" t="s">
        <v>91</v>
      </c>
      <c r="C24" s="47"/>
      <c r="D24" s="26"/>
      <c r="E24" s="9" t="s">
        <v>92</v>
      </c>
      <c r="F24" s="212"/>
    </row>
    <row r="25" spans="2:6" ht="31.5" x14ac:dyDescent="0.25">
      <c r="B25" s="81" t="s">
        <v>93</v>
      </c>
      <c r="C25" s="47" t="s">
        <v>46</v>
      </c>
      <c r="D25" s="26"/>
      <c r="E25" s="9" t="s">
        <v>94</v>
      </c>
      <c r="F25" s="47" t="s">
        <v>46</v>
      </c>
    </row>
    <row r="26" spans="2:6" ht="15.75" x14ac:dyDescent="0.25">
      <c r="B26" s="83" t="s">
        <v>95</v>
      </c>
      <c r="C26" s="80" t="s">
        <v>46</v>
      </c>
      <c r="D26" s="71"/>
      <c r="E26" s="108" t="s">
        <v>96</v>
      </c>
      <c r="F26" s="84"/>
    </row>
    <row r="27" spans="2:6" ht="5.0999999999999996" customHeight="1" x14ac:dyDescent="0.25">
      <c r="B27" s="2"/>
      <c r="C27" s="26"/>
      <c r="D27" s="26"/>
      <c r="E27" s="26"/>
      <c r="F27" s="26"/>
    </row>
    <row r="28" spans="2:6" ht="15.75" x14ac:dyDescent="0.25">
      <c r="B28" s="66" t="s">
        <v>97</v>
      </c>
      <c r="C28" s="87" t="s">
        <v>98</v>
      </c>
      <c r="D28" s="88"/>
      <c r="E28" s="224"/>
      <c r="F28" s="97" t="s">
        <v>99</v>
      </c>
    </row>
    <row r="29" spans="2:6" ht="15.75" x14ac:dyDescent="0.25">
      <c r="B29" s="74"/>
      <c r="C29" s="164" t="s">
        <v>100</v>
      </c>
      <c r="D29" s="165"/>
      <c r="E29" s="168" t="s">
        <v>46</v>
      </c>
      <c r="F29" s="166" t="s">
        <v>101</v>
      </c>
    </row>
    <row r="30" spans="2:6" ht="15.75" x14ac:dyDescent="0.25">
      <c r="B30" s="74"/>
      <c r="C30" s="164" t="s">
        <v>102</v>
      </c>
      <c r="D30" s="2"/>
      <c r="E30" s="214" t="s">
        <v>46</v>
      </c>
      <c r="F30" s="215" t="s">
        <v>101</v>
      </c>
    </row>
    <row r="31" spans="2:6" ht="15.75" x14ac:dyDescent="0.25">
      <c r="B31" s="213" t="s">
        <v>103</v>
      </c>
      <c r="C31" s="164" t="s">
        <v>104</v>
      </c>
      <c r="E31" s="167" t="s">
        <v>46</v>
      </c>
      <c r="F31" s="95" t="s">
        <v>101</v>
      </c>
    </row>
    <row r="32" spans="2:6" ht="5.0999999999999996" customHeight="1" x14ac:dyDescent="0.25">
      <c r="B32" s="2"/>
      <c r="C32" s="86"/>
      <c r="D32" s="2"/>
      <c r="E32" s="86"/>
      <c r="F32" s="86"/>
    </row>
    <row r="33" spans="2:6" ht="15.75" x14ac:dyDescent="0.25">
      <c r="B33" s="94" t="s">
        <v>105</v>
      </c>
      <c r="C33" s="314" t="s">
        <v>46</v>
      </c>
      <c r="D33" s="315"/>
      <c r="E33" s="316"/>
      <c r="F33" s="96" t="s">
        <v>106</v>
      </c>
    </row>
    <row r="34" spans="2:6" ht="27" customHeight="1" x14ac:dyDescent="0.25">
      <c r="B34" s="306" t="s">
        <v>107</v>
      </c>
      <c r="C34" s="306"/>
      <c r="D34" s="306"/>
      <c r="E34" s="306"/>
      <c r="F34" s="306"/>
    </row>
    <row r="35" spans="2:6" ht="5.25" customHeight="1" x14ac:dyDescent="0.25">
      <c r="B35" s="86"/>
      <c r="C35" s="86"/>
      <c r="D35" s="86"/>
      <c r="E35" s="89"/>
      <c r="F35" s="89"/>
    </row>
    <row r="36" spans="2:6" ht="15.75" x14ac:dyDescent="0.25">
      <c r="B36" s="195" t="s">
        <v>108</v>
      </c>
      <c r="C36" s="322" t="s">
        <v>46</v>
      </c>
      <c r="D36" s="323"/>
      <c r="E36" s="321" t="str">
        <f>"Prise de l'assurance individuelle accident (incluse : "&amp;Assurance_Individuelle&amp;"€) ou non"</f>
        <v>Prise de l'assurance individuelle accident (incluse : 0,28€) ou non</v>
      </c>
      <c r="F36" s="321"/>
    </row>
    <row r="37" spans="2:6" ht="5.25" customHeight="1" x14ac:dyDescent="0.25">
      <c r="B37" s="86"/>
      <c r="C37" s="86"/>
      <c r="D37" s="86"/>
      <c r="E37" s="89"/>
      <c r="F37" s="89"/>
    </row>
    <row r="38" spans="2:6" ht="15.75" customHeight="1" x14ac:dyDescent="0.25">
      <c r="B38" s="119" t="s">
        <v>109</v>
      </c>
      <c r="C38" s="314" t="s">
        <v>46</v>
      </c>
      <c r="D38" s="320"/>
      <c r="E38" s="175" t="s">
        <v>110</v>
      </c>
      <c r="F38" s="177" t="s">
        <v>46</v>
      </c>
    </row>
    <row r="39" spans="2:6" ht="6.6" customHeight="1" x14ac:dyDescent="0.25">
      <c r="B39" s="161"/>
      <c r="C39" s="162"/>
      <c r="D39" s="161"/>
      <c r="E39" s="162"/>
      <c r="F39" s="162"/>
    </row>
    <row r="40" spans="2:6" ht="15.75" x14ac:dyDescent="0.25">
      <c r="B40" s="6" t="s">
        <v>111</v>
      </c>
      <c r="D40" s="2"/>
    </row>
    <row r="41" spans="2:6" ht="5.0999999999999996" customHeight="1" x14ac:dyDescent="0.25">
      <c r="B41" s="2"/>
      <c r="D41" s="2"/>
    </row>
    <row r="42" spans="2:6" ht="15.75" customHeight="1" x14ac:dyDescent="0.25">
      <c r="B42" s="86"/>
      <c r="C42" s="86"/>
      <c r="D42" s="86"/>
      <c r="E42" s="89"/>
      <c r="F42" s="89"/>
    </row>
    <row r="43" spans="2:6" ht="15.75" x14ac:dyDescent="0.25">
      <c r="B43" s="2"/>
      <c r="D43" s="2"/>
    </row>
    <row r="45" spans="2:6" ht="15.75" x14ac:dyDescent="0.25">
      <c r="B45" s="2"/>
      <c r="D45" s="2"/>
    </row>
    <row r="46" spans="2:6" ht="15.75" x14ac:dyDescent="0.25">
      <c r="B46" s="2"/>
      <c r="D46" s="2"/>
    </row>
    <row r="47" spans="2:6" ht="15.75" x14ac:dyDescent="0.25">
      <c r="B47" s="309" t="s">
        <v>112</v>
      </c>
      <c r="C47" s="309"/>
      <c r="D47" s="309"/>
      <c r="E47" s="309"/>
      <c r="F47" s="309"/>
    </row>
    <row r="48" spans="2:6" ht="5.0999999999999996" customHeight="1" x14ac:dyDescent="0.25">
      <c r="B48" s="2"/>
      <c r="D48" s="2"/>
    </row>
    <row r="49" spans="2:7" ht="15.75" x14ac:dyDescent="0.25">
      <c r="B49" s="48" t="str">
        <f>"Je, soussigné(e)"</f>
        <v>Je, soussigné(e)</v>
      </c>
      <c r="C49" s="49" t="s">
        <v>113</v>
      </c>
      <c r="D49" s="43"/>
      <c r="E49" s="48" t="s">
        <v>114</v>
      </c>
      <c r="F49" s="50" t="s">
        <v>46</v>
      </c>
    </row>
    <row r="50" spans="2:7" ht="47.25" customHeight="1" x14ac:dyDescent="0.25">
      <c r="B50" s="308" t="str">
        <f>"déclare inscrire "&amp;IF(C11&gt;=Param!C9,C10&amp;" "&amp;F10,".......................")&amp;" au club de Tir à l’Arc « Les Archers du Phénix », et je lui donne, par la présente, l’autorisation de pratiquer le tir à l’arc, tant en loisir qu’en compétition. J’ai pris bonne note du règlement intérieur de l’Association."</f>
        <v>déclare inscrire ....................... au club de Tir à l’Arc « Les Archers du Phénix », et je lui donne, par la présente, l’autorisation de pratiquer le tir à l’arc, tant en loisir qu’en compétition. J’ai pris bonne note du règlement intérieur de l’Association.</v>
      </c>
      <c r="C50" s="308"/>
      <c r="D50" s="308"/>
      <c r="E50" s="308"/>
      <c r="F50" s="308"/>
    </row>
    <row r="51" spans="2:7" ht="4.5" customHeight="1" x14ac:dyDescent="0.25">
      <c r="B51" s="2"/>
      <c r="D51" s="2"/>
    </row>
    <row r="52" spans="2:7" ht="15.75" x14ac:dyDescent="0.25">
      <c r="B52" s="78" t="s">
        <v>115</v>
      </c>
      <c r="C52" s="75"/>
      <c r="D52" s="68"/>
      <c r="E52" s="107" t="s">
        <v>116</v>
      </c>
      <c r="F52" s="76"/>
    </row>
    <row r="53" spans="2:7" ht="15.75" x14ac:dyDescent="0.25">
      <c r="B53" s="69" t="s">
        <v>117</v>
      </c>
      <c r="C53" s="75"/>
      <c r="D53" s="71"/>
      <c r="E53" s="108" t="s">
        <v>118</v>
      </c>
      <c r="F53" s="76"/>
    </row>
    <row r="55" spans="2:7" ht="37.5" customHeight="1" x14ac:dyDescent="0.25">
      <c r="B55" s="307" t="s">
        <v>33</v>
      </c>
      <c r="C55" s="307"/>
      <c r="D55" s="307"/>
      <c r="E55" s="307"/>
      <c r="F55" s="307"/>
      <c r="G55" s="64"/>
    </row>
  </sheetData>
  <sheetProtection selectLockedCells="1"/>
  <mergeCells count="14">
    <mergeCell ref="C17:F17"/>
    <mergeCell ref="B21:E21"/>
    <mergeCell ref="C33:E33"/>
    <mergeCell ref="B34:F34"/>
    <mergeCell ref="C3:E3"/>
    <mergeCell ref="C5:E5"/>
    <mergeCell ref="C15:F15"/>
    <mergeCell ref="C16:F16"/>
    <mergeCell ref="B50:F50"/>
    <mergeCell ref="B55:F55"/>
    <mergeCell ref="B47:F47"/>
    <mergeCell ref="C36:D36"/>
    <mergeCell ref="E36:F36"/>
    <mergeCell ref="C38:D38"/>
  </mergeCells>
  <conditionalFormatting sqref="C7">
    <cfRule type="cellIs" dxfId="71" priority="21" stopIfTrue="1" operator="equal">
      <formula>"Sélectionnez…"</formula>
    </cfRule>
  </conditionalFormatting>
  <conditionalFormatting sqref="C18">
    <cfRule type="cellIs" dxfId="70" priority="17" stopIfTrue="1" operator="equal">
      <formula>"Sélectionnez…"</formula>
    </cfRule>
  </conditionalFormatting>
  <conditionalFormatting sqref="C24:C26">
    <cfRule type="cellIs" dxfId="69" priority="1" stopIfTrue="1" operator="equal">
      <formula>"Sélectionnez…"</formula>
    </cfRule>
  </conditionalFormatting>
  <conditionalFormatting sqref="C36">
    <cfRule type="cellIs" dxfId="68" priority="10" stopIfTrue="1" operator="equal">
      <formula>"Sélectionnez…"</formula>
    </cfRule>
  </conditionalFormatting>
  <conditionalFormatting sqref="C38">
    <cfRule type="cellIs" dxfId="67" priority="29" stopIfTrue="1" operator="equal">
      <formula>"Sélectionnez…"</formula>
    </cfRule>
  </conditionalFormatting>
  <conditionalFormatting sqref="C49">
    <cfRule type="cellIs" dxfId="66" priority="30" stopIfTrue="1" operator="notEqual">
      <formula>"Nom &amp; prénom"</formula>
    </cfRule>
    <cfRule type="cellIs" dxfId="65" priority="31" stopIfTrue="1" operator="equal">
      <formula>"Nom &amp; prénom"</formula>
    </cfRule>
    <cfRule type="cellIs" dxfId="64" priority="33" stopIfTrue="1" operator="notEqual">
      <formula>"Nom &amp; prénom"</formula>
    </cfRule>
  </conditionalFormatting>
  <conditionalFormatting sqref="E29:E31">
    <cfRule type="cellIs" dxfId="63" priority="11" stopIfTrue="1" operator="equal">
      <formula>"Sélectionnez…"</formula>
    </cfRule>
  </conditionalFormatting>
  <conditionalFormatting sqref="E35">
    <cfRule type="cellIs" dxfId="62" priority="8" stopIfTrue="1" operator="equal">
      <formula>"Sélectionnez…"</formula>
    </cfRule>
  </conditionalFormatting>
  <conditionalFormatting sqref="E37">
    <cfRule type="cellIs" dxfId="61" priority="9" stopIfTrue="1" operator="equal">
      <formula>"Sélectionnez…"</formula>
    </cfRule>
  </conditionalFormatting>
  <conditionalFormatting sqref="F7">
    <cfRule type="cellIs" dxfId="60" priority="19" operator="equal">
      <formula>"Sélectionnez…"</formula>
    </cfRule>
  </conditionalFormatting>
  <conditionalFormatting sqref="F11:F13">
    <cfRule type="cellIs" dxfId="59" priority="23" stopIfTrue="1" operator="equal">
      <formula>"Sélectionnez…"</formula>
    </cfRule>
  </conditionalFormatting>
  <conditionalFormatting sqref="F21 C33 E42">
    <cfRule type="cellIs" dxfId="58" priority="34" stopIfTrue="1" operator="equal">
      <formula>"Sélectionnez…"</formula>
    </cfRule>
  </conditionalFormatting>
  <conditionalFormatting sqref="F23">
    <cfRule type="cellIs" dxfId="57" priority="7" stopIfTrue="1" operator="equal">
      <formula>"Sélectionnez…"</formula>
    </cfRule>
  </conditionalFormatting>
  <conditionalFormatting sqref="F25:F26">
    <cfRule type="cellIs" dxfId="56" priority="3" stopIfTrue="1" operator="equal">
      <formula>"Sélectionnez…"</formula>
    </cfRule>
  </conditionalFormatting>
  <conditionalFormatting sqref="F38">
    <cfRule type="cellIs" dxfId="55" priority="28" stopIfTrue="1" operator="equal">
      <formula>"Sélectionnez…"</formula>
    </cfRule>
  </conditionalFormatting>
  <conditionalFormatting sqref="F49">
    <cfRule type="cellIs" dxfId="54" priority="32" stopIfTrue="1" operator="equal">
      <formula>"Sélectionnez…"</formula>
    </cfRule>
  </conditionalFormatting>
  <dataValidations count="15">
    <dataValidation allowBlank="1" showInputMessage="1" showErrorMessage="1" prompt="Saisir votre Nom et Prénom" sqref="C49" xr:uid="{00000000-0002-0000-0300-000000000000}"/>
    <dataValidation type="list" allowBlank="1" sqref="F49" xr:uid="{00000000-0002-0000-0300-000001000000}">
      <formula1>"Sélectionnez…,Père,Mère,Curateur,Tuteur"</formula1>
    </dataValidation>
    <dataValidation type="list" allowBlank="1" showInputMessage="1" showErrorMessage="1" sqref="E29:E31 E42 E35 E37 F21 F25" xr:uid="{00000000-0002-0000-0300-000002000000}">
      <formula1>"Sélectionnez…,Oui,Non"</formula1>
    </dataValidation>
    <dataValidation type="list" allowBlank="1" showInputMessage="1" showErrorMessage="1" sqref="C18" xr:uid="{00000000-0002-0000-0300-000003000000}">
      <formula1>"Sélectionnez…,Femme,Homme"</formula1>
    </dataValidation>
    <dataValidation type="list" allowBlank="1" showInputMessage="1" showErrorMessage="1" sqref="F23" xr:uid="{00000000-0002-0000-0300-000004000000}">
      <formula1>"Sélectionnez…,Droit,Gauche,Les deux"</formula1>
    </dataValidation>
    <dataValidation type="list" allowBlank="1" showInputMessage="1" showErrorMessage="1" sqref="C25" xr:uid="{00000000-0002-0000-0300-000005000000}">
      <formula1>"Sélectionnez…,S,M,L,XL,XXL"</formula1>
    </dataValidation>
    <dataValidation type="list" allowBlank="1" showInputMessage="1" showErrorMessage="1" sqref="C33" xr:uid="{00000000-0002-0000-0300-000006000000}">
      <formula1>"Sélectionnez…,Satuts &amp; Règlement Intérieur de l'association,Satuts de l'association,Règlement Intérieur de l'association,"</formula1>
    </dataValidation>
    <dataValidation type="list" allowBlank="1" showInputMessage="1" showErrorMessage="1" sqref="F7" xr:uid="{00000000-0002-0000-0300-000007000000}">
      <formula1>Licence</formula1>
    </dataValidation>
    <dataValidation type="list" allowBlank="1" showInputMessage="1" showErrorMessage="1" sqref="C7" xr:uid="{00000000-0002-0000-0300-000008000000}">
      <formula1>"Sélectionnez…,Adhésion,Renouvellement"</formula1>
    </dataValidation>
    <dataValidation type="list" allowBlank="1" showInputMessage="1" showErrorMessage="1" sqref="C38:D38" xr:uid="{00000000-0002-0000-0300-000009000000}">
      <formula1>"Sélectionnez…,Loisir,Quelques sorties concours,Compétition/Equipe"</formula1>
    </dataValidation>
    <dataValidation type="list" allowBlank="1" showInputMessage="1" showErrorMessage="1" sqref="F26" xr:uid="{00000000-0002-0000-0300-00000A000000}">
      <formula1>Jour_entrainement</formula1>
    </dataValidation>
    <dataValidation type="list" allowBlank="1" showInputMessage="1" showErrorMessage="1" sqref="F38" xr:uid="{00000000-0002-0000-0300-00000B000000}">
      <formula1>Niveau_Distinction</formula1>
    </dataValidation>
    <dataValidation type="list" allowBlank="1" showInputMessage="1" showErrorMessage="1" sqref="C36:D36" xr:uid="{00000000-0002-0000-0300-00000C000000}">
      <formula1>"Sélectionnez…,J'accepte,Je refuse"</formula1>
    </dataValidation>
    <dataValidation allowBlank="1" showInputMessage="1" sqref="F11:F13" xr:uid="{00000000-0002-0000-0300-00000D000000}"/>
    <dataValidation type="list" allowBlank="1" showInputMessage="1" showErrorMessage="1" sqref="C26" xr:uid="{00000000-0002-0000-0300-00000E000000}">
      <formula1>Categories_arc</formula1>
    </dataValidation>
  </dataValidations>
  <printOptions horizontalCentered="1"/>
  <pageMargins left="0.35433070866141736" right="0.35433070866141736" top="0.43307086614173229" bottom="0.35433070866141736" header="0.31496062992125984" footer="0.31496062992125984"/>
  <pageSetup paperSize="9" scale="9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pageSetUpPr fitToPage="1"/>
  </sheetPr>
  <dimension ref="B2:G55"/>
  <sheetViews>
    <sheetView showGridLines="0" workbookViewId="0">
      <selection activeCell="L27" sqref="L27"/>
    </sheetView>
  </sheetViews>
  <sheetFormatPr baseColWidth="10" defaultColWidth="9.140625" defaultRowHeight="15" x14ac:dyDescent="0.25"/>
  <cols>
    <col min="1" max="1" width="3.140625" customWidth="1"/>
    <col min="2" max="2" width="20.42578125" customWidth="1"/>
    <col min="3" max="3" width="30.42578125" customWidth="1"/>
    <col min="4" max="4" width="1.85546875" customWidth="1"/>
    <col min="5" max="5" width="18.28515625" customWidth="1"/>
    <col min="6" max="6" width="25.5703125" customWidth="1"/>
    <col min="7" max="256" width="11.42578125" customWidth="1"/>
  </cols>
  <sheetData>
    <row r="2" spans="2:6" ht="14.25" customHeight="1" x14ac:dyDescent="0.25"/>
    <row r="3" spans="2:6" ht="27.75" x14ac:dyDescent="0.4">
      <c r="C3" s="292" t="s">
        <v>34</v>
      </c>
      <c r="D3" s="292"/>
      <c r="E3" s="292"/>
      <c r="F3" s="54"/>
    </row>
    <row r="4" spans="2:6" ht="9" customHeight="1" x14ac:dyDescent="0.3">
      <c r="C4" s="3"/>
    </row>
    <row r="5" spans="2:6" ht="20.25" x14ac:dyDescent="0.3">
      <c r="C5" s="295" t="str">
        <f>"Saison "&amp;Param!C2</f>
        <v>Saison 2025-2026</v>
      </c>
      <c r="D5" s="295"/>
      <c r="E5" s="295"/>
      <c r="F5" s="178" t="s">
        <v>70</v>
      </c>
    </row>
    <row r="6" spans="2:6" ht="15.75" customHeight="1" x14ac:dyDescent="0.3">
      <c r="B6" s="7"/>
      <c r="C6" s="7"/>
      <c r="D6" s="7"/>
      <c r="E6" s="7"/>
      <c r="F6" s="7"/>
    </row>
    <row r="7" spans="2:6" ht="15.75" x14ac:dyDescent="0.25">
      <c r="B7" s="66" t="s">
        <v>71</v>
      </c>
      <c r="C7" s="67" t="s">
        <v>46</v>
      </c>
      <c r="D7" s="68"/>
      <c r="E7" s="68" t="s">
        <v>41</v>
      </c>
      <c r="F7" s="67" t="s">
        <v>46</v>
      </c>
    </row>
    <row r="8" spans="2:6" ht="15.75" x14ac:dyDescent="0.25">
      <c r="B8" s="69" t="s">
        <v>72</v>
      </c>
      <c r="C8" s="70"/>
      <c r="D8" s="71"/>
      <c r="E8" s="72" t="s">
        <v>73</v>
      </c>
      <c r="F8" s="73"/>
    </row>
    <row r="9" spans="2:6" ht="5.0999999999999996" customHeight="1" x14ac:dyDescent="0.25">
      <c r="B9" s="2"/>
      <c r="C9" s="26"/>
      <c r="D9" s="26"/>
      <c r="E9" s="26"/>
      <c r="F9" s="26"/>
    </row>
    <row r="10" spans="2:6" ht="15.75" x14ac:dyDescent="0.25">
      <c r="B10" s="66" t="s">
        <v>74</v>
      </c>
      <c r="C10" s="216"/>
      <c r="D10" s="68"/>
      <c r="E10" s="107" t="s">
        <v>75</v>
      </c>
      <c r="F10" s="73"/>
    </row>
    <row r="11" spans="2:6" ht="15.75" x14ac:dyDescent="0.25">
      <c r="B11" s="74" t="s">
        <v>76</v>
      </c>
      <c r="C11" s="217"/>
      <c r="D11" s="26"/>
      <c r="E11" s="48" t="s">
        <v>77</v>
      </c>
      <c r="F11" s="90"/>
    </row>
    <row r="12" spans="2:6" ht="15.75" x14ac:dyDescent="0.25">
      <c r="B12" s="74" t="s">
        <v>78</v>
      </c>
      <c r="C12" s="218"/>
      <c r="D12" s="26"/>
      <c r="E12" s="165" t="s">
        <v>79</v>
      </c>
      <c r="F12" s="90"/>
    </row>
    <row r="13" spans="2:6" ht="15.75" x14ac:dyDescent="0.25">
      <c r="B13" s="74" t="s">
        <v>80</v>
      </c>
      <c r="C13" s="219"/>
      <c r="D13" s="26"/>
      <c r="E13" s="165" t="s">
        <v>81</v>
      </c>
      <c r="F13" s="90"/>
    </row>
    <row r="14" spans="2:6" ht="5.0999999999999996" customHeight="1" x14ac:dyDescent="0.25">
      <c r="B14" s="2"/>
      <c r="C14" s="26"/>
      <c r="D14" s="26"/>
      <c r="E14" s="26"/>
      <c r="F14" s="26"/>
    </row>
    <row r="15" spans="2:6" ht="15.75" x14ac:dyDescent="0.25">
      <c r="B15" s="74" t="s">
        <v>82</v>
      </c>
      <c r="C15" s="311"/>
      <c r="D15" s="312"/>
      <c r="E15" s="312"/>
      <c r="F15" s="313"/>
    </row>
    <row r="16" spans="2:6" ht="15.75" x14ac:dyDescent="0.25">
      <c r="B16" s="74" t="s">
        <v>83</v>
      </c>
      <c r="C16" s="311"/>
      <c r="D16" s="312"/>
      <c r="E16" s="312"/>
      <c r="F16" s="313"/>
    </row>
    <row r="17" spans="2:6" ht="15.75" x14ac:dyDescent="0.25">
      <c r="B17" s="74" t="s">
        <v>84</v>
      </c>
      <c r="C17" s="319"/>
      <c r="D17" s="312"/>
      <c r="E17" s="312"/>
      <c r="F17" s="313"/>
    </row>
    <row r="18" spans="2:6" ht="15.75" x14ac:dyDescent="0.25">
      <c r="B18" s="208" t="s">
        <v>85</v>
      </c>
      <c r="C18" s="168" t="s">
        <v>46</v>
      </c>
      <c r="D18" s="210"/>
      <c r="E18" s="209" t="s">
        <v>86</v>
      </c>
      <c r="F18" s="212"/>
    </row>
    <row r="19" spans="2:6" ht="15.75" x14ac:dyDescent="0.25">
      <c r="B19" s="83" t="s">
        <v>87</v>
      </c>
      <c r="C19" s="211"/>
      <c r="D19" s="71"/>
      <c r="E19" s="108" t="s">
        <v>88</v>
      </c>
      <c r="F19" s="212"/>
    </row>
    <row r="20" spans="2:6" ht="5.0999999999999996" customHeight="1" x14ac:dyDescent="0.25">
      <c r="B20" s="2"/>
      <c r="C20" s="26"/>
      <c r="D20" s="26"/>
      <c r="E20" s="26"/>
      <c r="F20" s="26"/>
    </row>
    <row r="21" spans="2:6" ht="34.5" customHeight="1" x14ac:dyDescent="0.25">
      <c r="B21" s="317" t="s">
        <v>89</v>
      </c>
      <c r="C21" s="318"/>
      <c r="D21" s="318"/>
      <c r="E21" s="318"/>
      <c r="F21" s="77" t="s">
        <v>46</v>
      </c>
    </row>
    <row r="22" spans="2:6" ht="5.0999999999999996" customHeight="1" x14ac:dyDescent="0.25">
      <c r="B22" s="2"/>
      <c r="C22" s="26"/>
      <c r="D22" s="26"/>
      <c r="E22" s="26"/>
      <c r="F22" s="26"/>
    </row>
    <row r="23" spans="2:6" ht="15.75" x14ac:dyDescent="0.25">
      <c r="B23" s="78" t="s">
        <v>40</v>
      </c>
      <c r="C23" s="79" t="str">
        <f>IF(ISNA(VLOOKUP(C11,Catégorie,2,TRUE)),"",VLOOKUP(C11,Catégorie,3,TRUE))</f>
        <v/>
      </c>
      <c r="D23" s="68"/>
      <c r="E23" s="9" t="s">
        <v>90</v>
      </c>
      <c r="F23" s="82" t="s">
        <v>46</v>
      </c>
    </row>
    <row r="24" spans="2:6" ht="15.75" x14ac:dyDescent="0.25">
      <c r="B24" s="81" t="s">
        <v>91</v>
      </c>
      <c r="C24" s="47"/>
      <c r="D24" s="26"/>
      <c r="E24" s="9" t="s">
        <v>92</v>
      </c>
      <c r="F24" s="212"/>
    </row>
    <row r="25" spans="2:6" ht="31.5" x14ac:dyDescent="0.25">
      <c r="B25" s="81" t="s">
        <v>93</v>
      </c>
      <c r="C25" s="47" t="s">
        <v>46</v>
      </c>
      <c r="D25" s="26"/>
      <c r="E25" s="9" t="s">
        <v>94</v>
      </c>
      <c r="F25" s="47" t="s">
        <v>46</v>
      </c>
    </row>
    <row r="26" spans="2:6" ht="15.75" x14ac:dyDescent="0.25">
      <c r="B26" s="83" t="s">
        <v>95</v>
      </c>
      <c r="C26" s="80" t="s">
        <v>46</v>
      </c>
      <c r="D26" s="71"/>
      <c r="E26" s="108" t="s">
        <v>96</v>
      </c>
      <c r="F26" s="84"/>
    </row>
    <row r="27" spans="2:6" ht="5.0999999999999996" customHeight="1" x14ac:dyDescent="0.25">
      <c r="B27" s="2"/>
      <c r="C27" s="26"/>
      <c r="D27" s="26"/>
      <c r="E27" s="26"/>
      <c r="F27" s="26"/>
    </row>
    <row r="28" spans="2:6" ht="15.75" x14ac:dyDescent="0.25">
      <c r="B28" s="66" t="s">
        <v>97</v>
      </c>
      <c r="C28" s="87" t="s">
        <v>98</v>
      </c>
      <c r="D28" s="88"/>
      <c r="E28" s="85"/>
      <c r="F28" s="97" t="s">
        <v>99</v>
      </c>
    </row>
    <row r="29" spans="2:6" ht="15.75" x14ac:dyDescent="0.25">
      <c r="B29" s="74"/>
      <c r="C29" s="164" t="s">
        <v>100</v>
      </c>
      <c r="D29" s="165"/>
      <c r="E29" s="168" t="s">
        <v>46</v>
      </c>
      <c r="F29" s="166" t="s">
        <v>101</v>
      </c>
    </row>
    <row r="30" spans="2:6" ht="15.75" x14ac:dyDescent="0.25">
      <c r="B30" s="74"/>
      <c r="C30" s="164" t="s">
        <v>102</v>
      </c>
      <c r="D30" s="2"/>
      <c r="E30" s="214" t="s">
        <v>46</v>
      </c>
      <c r="F30" s="215" t="s">
        <v>101</v>
      </c>
    </row>
    <row r="31" spans="2:6" ht="15.75" x14ac:dyDescent="0.25">
      <c r="B31" s="213" t="s">
        <v>103</v>
      </c>
      <c r="C31" s="164" t="s">
        <v>104</v>
      </c>
      <c r="E31" s="167" t="s">
        <v>46</v>
      </c>
      <c r="F31" s="95" t="s">
        <v>101</v>
      </c>
    </row>
    <row r="32" spans="2:6" ht="5.0999999999999996" customHeight="1" x14ac:dyDescent="0.25">
      <c r="B32" s="2"/>
      <c r="C32" s="86"/>
      <c r="D32" s="2"/>
      <c r="E32" s="86"/>
      <c r="F32" s="86"/>
    </row>
    <row r="33" spans="2:6" ht="15.75" x14ac:dyDescent="0.25">
      <c r="B33" s="94" t="s">
        <v>105</v>
      </c>
      <c r="C33" s="314" t="s">
        <v>46</v>
      </c>
      <c r="D33" s="315"/>
      <c r="E33" s="316"/>
      <c r="F33" s="96" t="s">
        <v>106</v>
      </c>
    </row>
    <row r="34" spans="2:6" ht="27" customHeight="1" x14ac:dyDescent="0.25">
      <c r="B34" s="306" t="s">
        <v>107</v>
      </c>
      <c r="C34" s="306"/>
      <c r="D34" s="306"/>
      <c r="E34" s="306"/>
      <c r="F34" s="306"/>
    </row>
    <row r="35" spans="2:6" ht="5.25" customHeight="1" x14ac:dyDescent="0.25">
      <c r="B35" s="86"/>
      <c r="C35" s="86"/>
      <c r="D35" s="86"/>
      <c r="E35" s="89"/>
      <c r="F35" s="89"/>
    </row>
    <row r="36" spans="2:6" ht="15.75" x14ac:dyDescent="0.25">
      <c r="B36" s="195" t="s">
        <v>108</v>
      </c>
      <c r="C36" s="322" t="s">
        <v>46</v>
      </c>
      <c r="D36" s="323"/>
      <c r="E36" s="321" t="str">
        <f>"Prise de l'assurance individuelle accident (incluse : "&amp;Assurance_Individuelle&amp;"€) ou non"</f>
        <v>Prise de l'assurance individuelle accident (incluse : 0,28€) ou non</v>
      </c>
      <c r="F36" s="321"/>
    </row>
    <row r="37" spans="2:6" ht="5.25" customHeight="1" x14ac:dyDescent="0.25">
      <c r="B37" s="86"/>
      <c r="C37" s="86"/>
      <c r="D37" s="86"/>
      <c r="E37" s="89"/>
      <c r="F37" s="89"/>
    </row>
    <row r="38" spans="2:6" ht="15.75" customHeight="1" x14ac:dyDescent="0.25">
      <c r="B38" s="119" t="s">
        <v>109</v>
      </c>
      <c r="C38" s="314" t="s">
        <v>46</v>
      </c>
      <c r="D38" s="320"/>
      <c r="E38" s="175" t="s">
        <v>110</v>
      </c>
      <c r="F38" s="177" t="s">
        <v>46</v>
      </c>
    </row>
    <row r="39" spans="2:6" ht="6.6" customHeight="1" x14ac:dyDescent="0.25">
      <c r="B39" s="161"/>
      <c r="C39" s="162"/>
      <c r="D39" s="161"/>
      <c r="E39" s="162"/>
      <c r="F39" s="162"/>
    </row>
    <row r="40" spans="2:6" ht="15.75" x14ac:dyDescent="0.25">
      <c r="B40" s="6" t="s">
        <v>111</v>
      </c>
      <c r="D40" s="2"/>
    </row>
    <row r="41" spans="2:6" ht="5.0999999999999996" customHeight="1" x14ac:dyDescent="0.25">
      <c r="B41" s="2"/>
      <c r="D41" s="2"/>
    </row>
    <row r="42" spans="2:6" ht="15.75" customHeight="1" x14ac:dyDescent="0.25">
      <c r="B42" s="86"/>
      <c r="C42" s="86"/>
      <c r="D42" s="86"/>
      <c r="E42" s="89"/>
      <c r="F42" s="89"/>
    </row>
    <row r="43" spans="2:6" ht="15.75" x14ac:dyDescent="0.25">
      <c r="B43" s="2"/>
      <c r="D43" s="2"/>
    </row>
    <row r="45" spans="2:6" ht="15.75" x14ac:dyDescent="0.25">
      <c r="B45" s="2"/>
      <c r="D45" s="2"/>
    </row>
    <row r="46" spans="2:6" ht="15.75" x14ac:dyDescent="0.25">
      <c r="B46" s="2"/>
      <c r="D46" s="2"/>
    </row>
    <row r="47" spans="2:6" ht="15.75" x14ac:dyDescent="0.25">
      <c r="B47" s="309" t="s">
        <v>112</v>
      </c>
      <c r="C47" s="309"/>
      <c r="D47" s="309"/>
      <c r="E47" s="309"/>
      <c r="F47" s="309"/>
    </row>
    <row r="48" spans="2:6" ht="5.0999999999999996" customHeight="1" x14ac:dyDescent="0.25">
      <c r="B48" s="2"/>
      <c r="D48" s="2"/>
    </row>
    <row r="49" spans="2:7" ht="15.75" x14ac:dyDescent="0.25">
      <c r="B49" s="48" t="str">
        <f>"Je, soussigné(e)"</f>
        <v>Je, soussigné(e)</v>
      </c>
      <c r="C49" s="49" t="s">
        <v>113</v>
      </c>
      <c r="D49" s="43"/>
      <c r="E49" s="48" t="s">
        <v>114</v>
      </c>
      <c r="F49" s="50" t="s">
        <v>46</v>
      </c>
    </row>
    <row r="50" spans="2:7" ht="47.25" customHeight="1" x14ac:dyDescent="0.25">
      <c r="B50" s="308" t="str">
        <f>"déclare inscrire "&amp;IF(C11&gt;=Param!C9,C10&amp;" "&amp;F10,".......................")&amp;" au club de Tir à l’Arc « Les Archers du Phénix », et je lui donne, par la présente, l’autorisation de pratiquer le tir à l’arc, tant en loisir qu’en compétition. J’ai pris bonne note du règlement intérieur de l’Association."</f>
        <v>déclare inscrire ....................... au club de Tir à l’Arc « Les Archers du Phénix », et je lui donne, par la présente, l’autorisation de pratiquer le tir à l’arc, tant en loisir qu’en compétition. J’ai pris bonne note du règlement intérieur de l’Association.</v>
      </c>
      <c r="C50" s="308"/>
      <c r="D50" s="308"/>
      <c r="E50" s="308"/>
      <c r="F50" s="308"/>
    </row>
    <row r="51" spans="2:7" ht="4.5" customHeight="1" x14ac:dyDescent="0.25">
      <c r="B51" s="2"/>
      <c r="D51" s="2"/>
    </row>
    <row r="52" spans="2:7" ht="15.75" x14ac:dyDescent="0.25">
      <c r="B52" s="78" t="s">
        <v>115</v>
      </c>
      <c r="C52" s="75"/>
      <c r="D52" s="68"/>
      <c r="E52" s="107" t="s">
        <v>116</v>
      </c>
      <c r="F52" s="76"/>
    </row>
    <row r="53" spans="2:7" ht="15.75" x14ac:dyDescent="0.25">
      <c r="B53" s="69" t="s">
        <v>117</v>
      </c>
      <c r="C53" s="75"/>
      <c r="D53" s="71"/>
      <c r="E53" s="108" t="s">
        <v>118</v>
      </c>
      <c r="F53" s="76"/>
    </row>
    <row r="55" spans="2:7" ht="37.5" customHeight="1" x14ac:dyDescent="0.25">
      <c r="B55" s="307" t="s">
        <v>33</v>
      </c>
      <c r="C55" s="307"/>
      <c r="D55" s="307"/>
      <c r="E55" s="307"/>
      <c r="F55" s="307"/>
      <c r="G55" s="64"/>
    </row>
  </sheetData>
  <sheetProtection selectLockedCells="1"/>
  <mergeCells count="14">
    <mergeCell ref="B55:F55"/>
    <mergeCell ref="C3:E3"/>
    <mergeCell ref="C5:E5"/>
    <mergeCell ref="B50:F50"/>
    <mergeCell ref="C36:D36"/>
    <mergeCell ref="E36:F36"/>
    <mergeCell ref="C38:D38"/>
    <mergeCell ref="C15:F15"/>
    <mergeCell ref="C16:F16"/>
    <mergeCell ref="C17:F17"/>
    <mergeCell ref="B21:E21"/>
    <mergeCell ref="C33:E33"/>
    <mergeCell ref="B34:F34"/>
    <mergeCell ref="B47:F47"/>
  </mergeCells>
  <conditionalFormatting sqref="C7">
    <cfRule type="cellIs" dxfId="53" priority="21" stopIfTrue="1" operator="equal">
      <formula>"Sélectionnez…"</formula>
    </cfRule>
  </conditionalFormatting>
  <conditionalFormatting sqref="C18">
    <cfRule type="cellIs" dxfId="52" priority="17" stopIfTrue="1" operator="equal">
      <formula>"Sélectionnez…"</formula>
    </cfRule>
  </conditionalFormatting>
  <conditionalFormatting sqref="C24:C26">
    <cfRule type="cellIs" dxfId="51" priority="1" stopIfTrue="1" operator="equal">
      <formula>"Sélectionnez…"</formula>
    </cfRule>
  </conditionalFormatting>
  <conditionalFormatting sqref="C36">
    <cfRule type="cellIs" dxfId="50" priority="10" stopIfTrue="1" operator="equal">
      <formula>"Sélectionnez…"</formula>
    </cfRule>
  </conditionalFormatting>
  <conditionalFormatting sqref="C38">
    <cfRule type="cellIs" dxfId="49" priority="29" stopIfTrue="1" operator="equal">
      <formula>"Sélectionnez…"</formula>
    </cfRule>
  </conditionalFormatting>
  <conditionalFormatting sqref="C49">
    <cfRule type="cellIs" dxfId="48" priority="30" stopIfTrue="1" operator="notEqual">
      <formula>"Nom &amp; prénom"</formula>
    </cfRule>
    <cfRule type="cellIs" dxfId="47" priority="31" stopIfTrue="1" operator="equal">
      <formula>"Nom &amp; prénom"</formula>
    </cfRule>
    <cfRule type="cellIs" dxfId="46" priority="33" stopIfTrue="1" operator="notEqual">
      <formula>"Nom &amp; prénom"</formula>
    </cfRule>
  </conditionalFormatting>
  <conditionalFormatting sqref="E29:E31">
    <cfRule type="cellIs" dxfId="45" priority="11" stopIfTrue="1" operator="equal">
      <formula>"Sélectionnez…"</formula>
    </cfRule>
  </conditionalFormatting>
  <conditionalFormatting sqref="E35">
    <cfRule type="cellIs" dxfId="44" priority="8" stopIfTrue="1" operator="equal">
      <formula>"Sélectionnez…"</formula>
    </cfRule>
  </conditionalFormatting>
  <conditionalFormatting sqref="E37">
    <cfRule type="cellIs" dxfId="43" priority="9" stopIfTrue="1" operator="equal">
      <formula>"Sélectionnez…"</formula>
    </cfRule>
  </conditionalFormatting>
  <conditionalFormatting sqref="F7">
    <cfRule type="cellIs" dxfId="42" priority="19" operator="equal">
      <formula>"Sélectionnez…"</formula>
    </cfRule>
  </conditionalFormatting>
  <conditionalFormatting sqref="F11:F13">
    <cfRule type="cellIs" dxfId="41" priority="23" stopIfTrue="1" operator="equal">
      <formula>"Sélectionnez…"</formula>
    </cfRule>
  </conditionalFormatting>
  <conditionalFormatting sqref="F21 C33 E42">
    <cfRule type="cellIs" dxfId="40" priority="34" stopIfTrue="1" operator="equal">
      <formula>"Sélectionnez…"</formula>
    </cfRule>
  </conditionalFormatting>
  <conditionalFormatting sqref="F23">
    <cfRule type="cellIs" dxfId="39" priority="7" stopIfTrue="1" operator="equal">
      <formula>"Sélectionnez…"</formula>
    </cfRule>
  </conditionalFormatting>
  <conditionalFormatting sqref="F25:F26">
    <cfRule type="cellIs" dxfId="38" priority="3" stopIfTrue="1" operator="equal">
      <formula>"Sélectionnez…"</formula>
    </cfRule>
  </conditionalFormatting>
  <conditionalFormatting sqref="F38">
    <cfRule type="cellIs" dxfId="37" priority="28" stopIfTrue="1" operator="equal">
      <formula>"Sélectionnez…"</formula>
    </cfRule>
  </conditionalFormatting>
  <conditionalFormatting sqref="F49">
    <cfRule type="cellIs" dxfId="36" priority="32" stopIfTrue="1" operator="equal">
      <formula>"Sélectionnez…"</formula>
    </cfRule>
  </conditionalFormatting>
  <dataValidations count="15">
    <dataValidation allowBlank="1" showInputMessage="1" showErrorMessage="1" prompt="Saisir votre Nom et Prénom" sqref="C49" xr:uid="{00000000-0002-0000-0400-000000000000}"/>
    <dataValidation type="list" allowBlank="1" sqref="F49" xr:uid="{00000000-0002-0000-0400-000001000000}">
      <formula1>"Sélectionnez…,Père,Mère,Curateur,Tuteur"</formula1>
    </dataValidation>
    <dataValidation type="list" allowBlank="1" showInputMessage="1" showErrorMessage="1" sqref="E29:E31 E42 E35 E37 F21 F25" xr:uid="{00000000-0002-0000-0400-000002000000}">
      <formula1>"Sélectionnez…,Oui,Non"</formula1>
    </dataValidation>
    <dataValidation type="list" allowBlank="1" showInputMessage="1" showErrorMessage="1" sqref="C25" xr:uid="{00000000-0002-0000-0400-000003000000}">
      <formula1>"Sélectionnez…,S,M,L,XL,XXL"</formula1>
    </dataValidation>
    <dataValidation type="list" allowBlank="1" showInputMessage="1" showErrorMessage="1" sqref="F23" xr:uid="{00000000-0002-0000-0400-000004000000}">
      <formula1>"Sélectionnez…,Droit,Gauche,Les deux"</formula1>
    </dataValidation>
    <dataValidation type="list" allowBlank="1" showInputMessage="1" showErrorMessage="1" sqref="C18" xr:uid="{00000000-0002-0000-0400-000005000000}">
      <formula1>"Sélectionnez…,Femme,Homme"</formula1>
    </dataValidation>
    <dataValidation allowBlank="1" showInputMessage="1" sqref="F11:F13" xr:uid="{00000000-0002-0000-0400-000006000000}"/>
    <dataValidation type="list" allowBlank="1" showInputMessage="1" showErrorMessage="1" sqref="C33" xr:uid="{00000000-0002-0000-0400-000007000000}">
      <formula1>"Sélectionnez…,Satuts &amp; Règlement Intérieur de l'association,Satuts de l'association,Règlement Intérieur de l'association,"</formula1>
    </dataValidation>
    <dataValidation type="list" allowBlank="1" showInputMessage="1" showErrorMessage="1" sqref="F7" xr:uid="{00000000-0002-0000-0400-000008000000}">
      <formula1>Licence</formula1>
    </dataValidation>
    <dataValidation type="list" allowBlank="1" showInputMessage="1" showErrorMessage="1" sqref="C7" xr:uid="{00000000-0002-0000-0400-000009000000}">
      <formula1>"Sélectionnez…,Adhésion,Renouvellement"</formula1>
    </dataValidation>
    <dataValidation type="list" allowBlank="1" showInputMessage="1" showErrorMessage="1" sqref="C38:D38" xr:uid="{00000000-0002-0000-0400-00000A000000}">
      <formula1>"Sélectionnez…,Loisir,Quelques sorties concours,Compétition/Equipe"</formula1>
    </dataValidation>
    <dataValidation type="list" allowBlank="1" showInputMessage="1" showErrorMessage="1" sqref="F26" xr:uid="{00000000-0002-0000-0400-00000B000000}">
      <formula1>Jour_entrainement</formula1>
    </dataValidation>
    <dataValidation type="list" allowBlank="1" showInputMessage="1" showErrorMessage="1" sqref="F38" xr:uid="{00000000-0002-0000-0400-00000C000000}">
      <formula1>Niveau_Distinction</formula1>
    </dataValidation>
    <dataValidation type="list" allowBlank="1" showInputMessage="1" showErrorMessage="1" sqref="C36:D36" xr:uid="{00000000-0002-0000-0400-00000D000000}">
      <formula1>"Sélectionnez…,J'accepte,Je refuse"</formula1>
    </dataValidation>
    <dataValidation type="list" allowBlank="1" showInputMessage="1" showErrorMessage="1" sqref="C26" xr:uid="{00000000-0002-0000-0400-00000E000000}">
      <formula1>Categories_arc</formula1>
    </dataValidation>
  </dataValidations>
  <printOptions horizontalCentered="1"/>
  <pageMargins left="0.35433070866141736" right="0.35433070866141736" top="0.43307086614173229" bottom="0.35433070866141736" header="0.31496062992125984" footer="0.31496062992125984"/>
  <pageSetup paperSize="9" scale="96"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pageSetUpPr fitToPage="1"/>
  </sheetPr>
  <dimension ref="B2:G55"/>
  <sheetViews>
    <sheetView showGridLines="0" workbookViewId="0">
      <selection activeCell="L27" sqref="L27"/>
    </sheetView>
  </sheetViews>
  <sheetFormatPr baseColWidth="10" defaultColWidth="9.140625" defaultRowHeight="15" x14ac:dyDescent="0.25"/>
  <cols>
    <col min="1" max="1" width="3.140625" customWidth="1"/>
    <col min="2" max="2" width="20.42578125" customWidth="1"/>
    <col min="3" max="3" width="30.42578125" customWidth="1"/>
    <col min="4" max="4" width="1.85546875" customWidth="1"/>
    <col min="5" max="5" width="18.28515625" customWidth="1"/>
    <col min="6" max="6" width="25.5703125" customWidth="1"/>
    <col min="7" max="256" width="11.42578125" customWidth="1"/>
  </cols>
  <sheetData>
    <row r="2" spans="2:6" ht="14.25" customHeight="1" x14ac:dyDescent="0.25"/>
    <row r="3" spans="2:6" ht="27.75" x14ac:dyDescent="0.4">
      <c r="C3" s="292" t="s">
        <v>34</v>
      </c>
      <c r="D3" s="292"/>
      <c r="E3" s="292"/>
      <c r="F3" s="54"/>
    </row>
    <row r="4" spans="2:6" ht="9" customHeight="1" x14ac:dyDescent="0.3">
      <c r="C4" s="3"/>
    </row>
    <row r="5" spans="2:6" ht="20.25" x14ac:dyDescent="0.3">
      <c r="C5" s="295" t="str">
        <f>"Saison "&amp;Param!C2</f>
        <v>Saison 2025-2026</v>
      </c>
      <c r="D5" s="295"/>
      <c r="E5" s="295"/>
      <c r="F5" s="178" t="s">
        <v>70</v>
      </c>
    </row>
    <row r="6" spans="2:6" ht="17.25" customHeight="1" x14ac:dyDescent="0.3">
      <c r="B6" s="7"/>
      <c r="C6" s="7"/>
      <c r="D6" s="7"/>
      <c r="E6" s="7"/>
      <c r="F6" s="7"/>
    </row>
    <row r="7" spans="2:6" ht="15.75" x14ac:dyDescent="0.25">
      <c r="B7" s="66" t="s">
        <v>71</v>
      </c>
      <c r="C7" s="67" t="s">
        <v>46</v>
      </c>
      <c r="D7" s="68"/>
      <c r="E7" s="68" t="s">
        <v>41</v>
      </c>
      <c r="F7" s="67" t="s">
        <v>46</v>
      </c>
    </row>
    <row r="8" spans="2:6" ht="15.75" x14ac:dyDescent="0.25">
      <c r="B8" s="69" t="s">
        <v>72</v>
      </c>
      <c r="C8" s="70"/>
      <c r="D8" s="71"/>
      <c r="E8" s="72" t="s">
        <v>73</v>
      </c>
      <c r="F8" s="73"/>
    </row>
    <row r="9" spans="2:6" ht="5.0999999999999996" customHeight="1" x14ac:dyDescent="0.25">
      <c r="B9" s="2"/>
      <c r="C9" s="26"/>
      <c r="D9" s="26"/>
      <c r="E9" s="26"/>
      <c r="F9" s="26"/>
    </row>
    <row r="10" spans="2:6" ht="15.75" x14ac:dyDescent="0.25">
      <c r="B10" s="66" t="s">
        <v>74</v>
      </c>
      <c r="C10" s="216"/>
      <c r="D10" s="68"/>
      <c r="E10" s="107" t="s">
        <v>75</v>
      </c>
      <c r="F10" s="73"/>
    </row>
    <row r="11" spans="2:6" ht="15.75" x14ac:dyDescent="0.25">
      <c r="B11" s="74" t="s">
        <v>76</v>
      </c>
      <c r="C11" s="217"/>
      <c r="D11" s="26"/>
      <c r="E11" s="48" t="s">
        <v>77</v>
      </c>
      <c r="F11" s="90"/>
    </row>
    <row r="12" spans="2:6" ht="15.75" x14ac:dyDescent="0.25">
      <c r="B12" s="74" t="s">
        <v>78</v>
      </c>
      <c r="C12" s="218"/>
      <c r="D12" s="26"/>
      <c r="E12" s="165" t="s">
        <v>79</v>
      </c>
      <c r="F12" s="90"/>
    </row>
    <row r="13" spans="2:6" ht="15.75" x14ac:dyDescent="0.25">
      <c r="B13" s="74" t="s">
        <v>80</v>
      </c>
      <c r="C13" s="219"/>
      <c r="D13" s="26"/>
      <c r="E13" s="165" t="s">
        <v>81</v>
      </c>
      <c r="F13" s="90"/>
    </row>
    <row r="14" spans="2:6" ht="5.0999999999999996" customHeight="1" x14ac:dyDescent="0.25">
      <c r="B14" s="2"/>
      <c r="C14" s="26"/>
      <c r="D14" s="26"/>
      <c r="E14" s="26"/>
      <c r="F14" s="26"/>
    </row>
    <row r="15" spans="2:6" ht="15.75" x14ac:dyDescent="0.25">
      <c r="B15" s="74" t="s">
        <v>82</v>
      </c>
      <c r="C15" s="311"/>
      <c r="D15" s="312"/>
      <c r="E15" s="312"/>
      <c r="F15" s="313"/>
    </row>
    <row r="16" spans="2:6" ht="15.75" x14ac:dyDescent="0.25">
      <c r="B16" s="74" t="s">
        <v>83</v>
      </c>
      <c r="C16" s="311"/>
      <c r="D16" s="312"/>
      <c r="E16" s="312"/>
      <c r="F16" s="313"/>
    </row>
    <row r="17" spans="2:6" ht="15.75" x14ac:dyDescent="0.25">
      <c r="B17" s="74" t="s">
        <v>84</v>
      </c>
      <c r="C17" s="319"/>
      <c r="D17" s="312"/>
      <c r="E17" s="312"/>
      <c r="F17" s="313"/>
    </row>
    <row r="18" spans="2:6" ht="15.75" x14ac:dyDescent="0.25">
      <c r="B18" s="208" t="s">
        <v>85</v>
      </c>
      <c r="C18" s="168" t="s">
        <v>46</v>
      </c>
      <c r="D18" s="210"/>
      <c r="E18" s="209" t="s">
        <v>86</v>
      </c>
      <c r="F18" s="212"/>
    </row>
    <row r="19" spans="2:6" ht="15.75" x14ac:dyDescent="0.25">
      <c r="B19" s="83" t="s">
        <v>87</v>
      </c>
      <c r="C19" s="211"/>
      <c r="D19" s="71"/>
      <c r="E19" s="108" t="s">
        <v>88</v>
      </c>
      <c r="F19" s="212"/>
    </row>
    <row r="20" spans="2:6" ht="5.0999999999999996" customHeight="1" x14ac:dyDescent="0.25">
      <c r="B20" s="2"/>
      <c r="C20" s="26"/>
      <c r="D20" s="26"/>
      <c r="E20" s="26"/>
      <c r="F20" s="26"/>
    </row>
    <row r="21" spans="2:6" ht="34.5" customHeight="1" x14ac:dyDescent="0.25">
      <c r="B21" s="317" t="s">
        <v>89</v>
      </c>
      <c r="C21" s="318"/>
      <c r="D21" s="318"/>
      <c r="E21" s="318"/>
      <c r="F21" s="77" t="s">
        <v>46</v>
      </c>
    </row>
    <row r="22" spans="2:6" ht="5.0999999999999996" customHeight="1" x14ac:dyDescent="0.25">
      <c r="B22" s="2"/>
      <c r="C22" s="26"/>
      <c r="D22" s="26"/>
      <c r="E22" s="26"/>
      <c r="F22" s="26"/>
    </row>
    <row r="23" spans="2:6" ht="15.75" x14ac:dyDescent="0.25">
      <c r="B23" s="78" t="s">
        <v>40</v>
      </c>
      <c r="C23" s="79" t="str">
        <f>IF(ISNA(VLOOKUP(C11,Catégorie,2,TRUE)),"",VLOOKUP(C11,Catégorie,3,TRUE))</f>
        <v/>
      </c>
      <c r="D23" s="68"/>
      <c r="E23" s="9" t="s">
        <v>90</v>
      </c>
      <c r="F23" s="82" t="s">
        <v>46</v>
      </c>
    </row>
    <row r="24" spans="2:6" ht="15.75" x14ac:dyDescent="0.25">
      <c r="B24" s="81" t="s">
        <v>91</v>
      </c>
      <c r="C24" s="47"/>
      <c r="D24" s="26"/>
      <c r="E24" s="9" t="s">
        <v>92</v>
      </c>
      <c r="F24" s="212"/>
    </row>
    <row r="25" spans="2:6" ht="31.5" x14ac:dyDescent="0.25">
      <c r="B25" s="81" t="s">
        <v>93</v>
      </c>
      <c r="C25" s="47" t="s">
        <v>46</v>
      </c>
      <c r="D25" s="26"/>
      <c r="E25" s="9" t="s">
        <v>94</v>
      </c>
      <c r="F25" s="47" t="s">
        <v>46</v>
      </c>
    </row>
    <row r="26" spans="2:6" ht="15.75" x14ac:dyDescent="0.25">
      <c r="B26" s="83" t="s">
        <v>95</v>
      </c>
      <c r="C26" s="80" t="s">
        <v>46</v>
      </c>
      <c r="D26" s="71"/>
      <c r="E26" s="108" t="s">
        <v>96</v>
      </c>
      <c r="F26" s="84"/>
    </row>
    <row r="27" spans="2:6" ht="5.0999999999999996" customHeight="1" x14ac:dyDescent="0.25">
      <c r="B27" s="2"/>
      <c r="C27" s="26"/>
      <c r="D27" s="26"/>
      <c r="E27" s="26"/>
      <c r="F27" s="26"/>
    </row>
    <row r="28" spans="2:6" ht="15.75" x14ac:dyDescent="0.25">
      <c r="B28" s="66" t="s">
        <v>97</v>
      </c>
      <c r="C28" s="87" t="s">
        <v>98</v>
      </c>
      <c r="D28" s="88"/>
      <c r="E28" s="85"/>
      <c r="F28" s="97" t="s">
        <v>99</v>
      </c>
    </row>
    <row r="29" spans="2:6" ht="15.75" x14ac:dyDescent="0.25">
      <c r="B29" s="74"/>
      <c r="C29" s="164" t="s">
        <v>100</v>
      </c>
      <c r="D29" s="165"/>
      <c r="E29" s="168" t="s">
        <v>46</v>
      </c>
      <c r="F29" s="166" t="s">
        <v>101</v>
      </c>
    </row>
    <row r="30" spans="2:6" ht="15.75" x14ac:dyDescent="0.25">
      <c r="B30" s="74"/>
      <c r="C30" s="164" t="s">
        <v>102</v>
      </c>
      <c r="D30" s="2"/>
      <c r="E30" s="214" t="s">
        <v>46</v>
      </c>
      <c r="F30" s="215" t="s">
        <v>101</v>
      </c>
    </row>
    <row r="31" spans="2:6" ht="15.75" x14ac:dyDescent="0.25">
      <c r="B31" s="213" t="s">
        <v>103</v>
      </c>
      <c r="C31" s="164" t="s">
        <v>104</v>
      </c>
      <c r="E31" s="167" t="s">
        <v>46</v>
      </c>
      <c r="F31" s="95" t="s">
        <v>101</v>
      </c>
    </row>
    <row r="32" spans="2:6" ht="5.0999999999999996" customHeight="1" x14ac:dyDescent="0.25">
      <c r="B32" s="2"/>
      <c r="C32" s="86"/>
      <c r="D32" s="2"/>
      <c r="E32" s="86"/>
      <c r="F32" s="86"/>
    </row>
    <row r="33" spans="2:6" ht="15.75" x14ac:dyDescent="0.25">
      <c r="B33" s="94" t="s">
        <v>105</v>
      </c>
      <c r="C33" s="314" t="s">
        <v>46</v>
      </c>
      <c r="D33" s="315"/>
      <c r="E33" s="316"/>
      <c r="F33" s="96" t="s">
        <v>106</v>
      </c>
    </row>
    <row r="34" spans="2:6" ht="27" customHeight="1" x14ac:dyDescent="0.25">
      <c r="B34" s="306" t="s">
        <v>107</v>
      </c>
      <c r="C34" s="306"/>
      <c r="D34" s="306"/>
      <c r="E34" s="306"/>
      <c r="F34" s="306"/>
    </row>
    <row r="35" spans="2:6" ht="5.25" customHeight="1" x14ac:dyDescent="0.25">
      <c r="B35" s="86"/>
      <c r="C35" s="86"/>
      <c r="D35" s="86"/>
      <c r="E35" s="89"/>
      <c r="F35" s="89"/>
    </row>
    <row r="36" spans="2:6" ht="15.75" x14ac:dyDescent="0.25">
      <c r="B36" s="195" t="s">
        <v>108</v>
      </c>
      <c r="C36" s="322" t="s">
        <v>46</v>
      </c>
      <c r="D36" s="323"/>
      <c r="E36" s="321" t="str">
        <f>"Prise de l'assurance individuelle accident (incluse : "&amp;Assurance_Individuelle&amp;"€) ou non"</f>
        <v>Prise de l'assurance individuelle accident (incluse : 0,28€) ou non</v>
      </c>
      <c r="F36" s="321"/>
    </row>
    <row r="37" spans="2:6" ht="5.25" customHeight="1" x14ac:dyDescent="0.25">
      <c r="B37" s="86"/>
      <c r="C37" s="86"/>
      <c r="D37" s="86"/>
      <c r="E37" s="89"/>
      <c r="F37" s="89"/>
    </row>
    <row r="38" spans="2:6" ht="15.75" customHeight="1" x14ac:dyDescent="0.25">
      <c r="B38" s="119" t="s">
        <v>109</v>
      </c>
      <c r="C38" s="314" t="s">
        <v>46</v>
      </c>
      <c r="D38" s="320"/>
      <c r="E38" s="175" t="s">
        <v>110</v>
      </c>
      <c r="F38" s="177" t="s">
        <v>46</v>
      </c>
    </row>
    <row r="39" spans="2:6" ht="6.6" customHeight="1" x14ac:dyDescent="0.25">
      <c r="B39" s="161"/>
      <c r="C39" s="162"/>
      <c r="D39" s="161"/>
      <c r="E39" s="162"/>
      <c r="F39" s="162"/>
    </row>
    <row r="40" spans="2:6" ht="15.75" x14ac:dyDescent="0.25">
      <c r="B40" s="6" t="s">
        <v>111</v>
      </c>
      <c r="D40" s="2"/>
    </row>
    <row r="41" spans="2:6" ht="5.0999999999999996" customHeight="1" x14ac:dyDescent="0.25">
      <c r="B41" s="2"/>
      <c r="D41" s="2"/>
    </row>
    <row r="42" spans="2:6" ht="15.75" customHeight="1" x14ac:dyDescent="0.25">
      <c r="B42" s="86"/>
      <c r="C42" s="86"/>
      <c r="D42" s="86"/>
      <c r="E42" s="89"/>
      <c r="F42" s="89"/>
    </row>
    <row r="43" spans="2:6" ht="15.75" x14ac:dyDescent="0.25">
      <c r="B43" s="2"/>
      <c r="D43" s="2"/>
    </row>
    <row r="45" spans="2:6" ht="15.75" x14ac:dyDescent="0.25">
      <c r="B45" s="2"/>
      <c r="D45" s="2"/>
    </row>
    <row r="46" spans="2:6" ht="15.75" x14ac:dyDescent="0.25">
      <c r="B46" s="2"/>
      <c r="D46" s="2"/>
    </row>
    <row r="47" spans="2:6" ht="15.75" x14ac:dyDescent="0.25">
      <c r="B47" s="309" t="s">
        <v>112</v>
      </c>
      <c r="C47" s="309"/>
      <c r="D47" s="309"/>
      <c r="E47" s="309"/>
      <c r="F47" s="309"/>
    </row>
    <row r="48" spans="2:6" ht="5.0999999999999996" customHeight="1" x14ac:dyDescent="0.25">
      <c r="B48" s="2"/>
      <c r="D48" s="2"/>
    </row>
    <row r="49" spans="2:7" ht="15.75" x14ac:dyDescent="0.25">
      <c r="B49" s="48" t="str">
        <f>"Je, soussigné(e)"</f>
        <v>Je, soussigné(e)</v>
      </c>
      <c r="C49" s="49" t="s">
        <v>113</v>
      </c>
      <c r="D49" s="43"/>
      <c r="E49" s="48" t="s">
        <v>114</v>
      </c>
      <c r="F49" s="50" t="s">
        <v>46</v>
      </c>
    </row>
    <row r="50" spans="2:7" ht="47.25" customHeight="1" x14ac:dyDescent="0.25">
      <c r="B50" s="308" t="str">
        <f>"déclare inscrire "&amp;IF(C11&gt;=Param!C9,C10&amp;" "&amp;F10,".......................")&amp;" au club de Tir à l’Arc « Les Archers du Phénix », et je lui donne, par la présente, l’autorisation de pratiquer le tir à l’arc, tant en loisir qu’en compétition. J’ai pris bonne note du règlement intérieur de l’Association."</f>
        <v>déclare inscrire ....................... au club de Tir à l’Arc « Les Archers du Phénix », et je lui donne, par la présente, l’autorisation de pratiquer le tir à l’arc, tant en loisir qu’en compétition. J’ai pris bonne note du règlement intérieur de l’Association.</v>
      </c>
      <c r="C50" s="308"/>
      <c r="D50" s="308"/>
      <c r="E50" s="308"/>
      <c r="F50" s="308"/>
    </row>
    <row r="51" spans="2:7" ht="4.5" customHeight="1" x14ac:dyDescent="0.25">
      <c r="B51" s="2"/>
      <c r="D51" s="2"/>
    </row>
    <row r="52" spans="2:7" ht="15.75" x14ac:dyDescent="0.25">
      <c r="B52" s="78" t="s">
        <v>115</v>
      </c>
      <c r="C52" s="75"/>
      <c r="D52" s="68"/>
      <c r="E52" s="107" t="s">
        <v>116</v>
      </c>
      <c r="F52" s="76"/>
    </row>
    <row r="53" spans="2:7" ht="15.75" x14ac:dyDescent="0.25">
      <c r="B53" s="69" t="s">
        <v>117</v>
      </c>
      <c r="C53" s="75"/>
      <c r="D53" s="71"/>
      <c r="E53" s="108" t="s">
        <v>118</v>
      </c>
      <c r="F53" s="76"/>
    </row>
    <row r="55" spans="2:7" ht="37.5" customHeight="1" x14ac:dyDescent="0.25">
      <c r="B55" s="307" t="s">
        <v>33</v>
      </c>
      <c r="C55" s="307"/>
      <c r="D55" s="307"/>
      <c r="E55" s="307"/>
      <c r="F55" s="307"/>
      <c r="G55" s="64"/>
    </row>
  </sheetData>
  <sheetProtection selectLockedCells="1"/>
  <mergeCells count="14">
    <mergeCell ref="B55:F55"/>
    <mergeCell ref="C3:E3"/>
    <mergeCell ref="C5:E5"/>
    <mergeCell ref="B50:F50"/>
    <mergeCell ref="C36:D36"/>
    <mergeCell ref="E36:F36"/>
    <mergeCell ref="C38:D38"/>
    <mergeCell ref="C15:F15"/>
    <mergeCell ref="C16:F16"/>
    <mergeCell ref="C17:F17"/>
    <mergeCell ref="B21:E21"/>
    <mergeCell ref="C33:E33"/>
    <mergeCell ref="B34:F34"/>
    <mergeCell ref="B47:F47"/>
  </mergeCells>
  <conditionalFormatting sqref="C7">
    <cfRule type="cellIs" dxfId="35" priority="21" stopIfTrue="1" operator="equal">
      <formula>"Sélectionnez…"</formula>
    </cfRule>
  </conditionalFormatting>
  <conditionalFormatting sqref="C18">
    <cfRule type="cellIs" dxfId="34" priority="17" stopIfTrue="1" operator="equal">
      <formula>"Sélectionnez…"</formula>
    </cfRule>
  </conditionalFormatting>
  <conditionalFormatting sqref="C24:C26">
    <cfRule type="cellIs" dxfId="33" priority="1" stopIfTrue="1" operator="equal">
      <formula>"Sélectionnez…"</formula>
    </cfRule>
  </conditionalFormatting>
  <conditionalFormatting sqref="C36">
    <cfRule type="cellIs" dxfId="32" priority="10" stopIfTrue="1" operator="equal">
      <formula>"Sélectionnez…"</formula>
    </cfRule>
  </conditionalFormatting>
  <conditionalFormatting sqref="C38">
    <cfRule type="cellIs" dxfId="31" priority="29" stopIfTrue="1" operator="equal">
      <formula>"Sélectionnez…"</formula>
    </cfRule>
  </conditionalFormatting>
  <conditionalFormatting sqref="C49">
    <cfRule type="cellIs" dxfId="30" priority="30" stopIfTrue="1" operator="notEqual">
      <formula>"Nom &amp; prénom"</formula>
    </cfRule>
    <cfRule type="cellIs" dxfId="29" priority="31" stopIfTrue="1" operator="equal">
      <formula>"Nom &amp; prénom"</formula>
    </cfRule>
    <cfRule type="cellIs" dxfId="28" priority="33" stopIfTrue="1" operator="notEqual">
      <formula>"Nom &amp; prénom"</formula>
    </cfRule>
  </conditionalFormatting>
  <conditionalFormatting sqref="E29:E31">
    <cfRule type="cellIs" dxfId="27" priority="11" stopIfTrue="1" operator="equal">
      <formula>"Sélectionnez…"</formula>
    </cfRule>
  </conditionalFormatting>
  <conditionalFormatting sqref="E35">
    <cfRule type="cellIs" dxfId="26" priority="8" stopIfTrue="1" operator="equal">
      <formula>"Sélectionnez…"</formula>
    </cfRule>
  </conditionalFormatting>
  <conditionalFormatting sqref="E37">
    <cfRule type="cellIs" dxfId="25" priority="9" stopIfTrue="1" operator="equal">
      <formula>"Sélectionnez…"</formula>
    </cfRule>
  </conditionalFormatting>
  <conditionalFormatting sqref="F7">
    <cfRule type="cellIs" dxfId="24" priority="19" operator="equal">
      <formula>"Sélectionnez…"</formula>
    </cfRule>
  </conditionalFormatting>
  <conditionalFormatting sqref="F11:F13">
    <cfRule type="cellIs" dxfId="23" priority="23" stopIfTrue="1" operator="equal">
      <formula>"Sélectionnez…"</formula>
    </cfRule>
  </conditionalFormatting>
  <conditionalFormatting sqref="F21 C33 E42">
    <cfRule type="cellIs" dxfId="22" priority="34" stopIfTrue="1" operator="equal">
      <formula>"Sélectionnez…"</formula>
    </cfRule>
  </conditionalFormatting>
  <conditionalFormatting sqref="F23">
    <cfRule type="cellIs" dxfId="21" priority="7" stopIfTrue="1" operator="equal">
      <formula>"Sélectionnez…"</formula>
    </cfRule>
  </conditionalFormatting>
  <conditionalFormatting sqref="F25:F26">
    <cfRule type="cellIs" dxfId="20" priority="3" stopIfTrue="1" operator="equal">
      <formula>"Sélectionnez…"</formula>
    </cfRule>
  </conditionalFormatting>
  <conditionalFormatting sqref="F38">
    <cfRule type="cellIs" dxfId="19" priority="28" stopIfTrue="1" operator="equal">
      <formula>"Sélectionnez…"</formula>
    </cfRule>
  </conditionalFormatting>
  <conditionalFormatting sqref="F49">
    <cfRule type="cellIs" dxfId="18" priority="32" stopIfTrue="1" operator="equal">
      <formula>"Sélectionnez…"</formula>
    </cfRule>
  </conditionalFormatting>
  <dataValidations count="15">
    <dataValidation allowBlank="1" showInputMessage="1" showErrorMessage="1" prompt="Saisir votre Nom et Prénom" sqref="C49" xr:uid="{00000000-0002-0000-0500-000000000000}"/>
    <dataValidation type="list" allowBlank="1" sqref="F49" xr:uid="{00000000-0002-0000-0500-000001000000}">
      <formula1>"Sélectionnez…,Père,Mère,Curateur,Tuteur"</formula1>
    </dataValidation>
    <dataValidation type="list" allowBlank="1" showInputMessage="1" showErrorMessage="1" sqref="E29:E31 E42 E35 E37 F21 F25" xr:uid="{00000000-0002-0000-0500-000002000000}">
      <formula1>"Sélectionnez…,Oui,Non"</formula1>
    </dataValidation>
    <dataValidation type="list" allowBlank="1" showInputMessage="1" showErrorMessage="1" sqref="C33" xr:uid="{00000000-0002-0000-0500-000003000000}">
      <formula1>"Sélectionnez…,Satuts &amp; Règlement Intérieur de l'association,Satuts de l'association,Règlement Intérieur de l'association,"</formula1>
    </dataValidation>
    <dataValidation type="list" allowBlank="1" showInputMessage="1" showErrorMessage="1" sqref="C18" xr:uid="{00000000-0002-0000-0500-000004000000}">
      <formula1>"Sélectionnez…,Femme,Homme"</formula1>
    </dataValidation>
    <dataValidation type="list" allowBlank="1" showInputMessage="1" showErrorMessage="1" sqref="F23" xr:uid="{00000000-0002-0000-0500-000005000000}">
      <formula1>"Sélectionnez…,Droit,Gauche,Les deux"</formula1>
    </dataValidation>
    <dataValidation type="list" allowBlank="1" showInputMessage="1" showErrorMessage="1" sqref="C25" xr:uid="{00000000-0002-0000-0500-000006000000}">
      <formula1>"Sélectionnez…,S,M,L,XL,XXL"</formula1>
    </dataValidation>
    <dataValidation allowBlank="1" showInputMessage="1" sqref="F11:F13" xr:uid="{00000000-0002-0000-0500-000007000000}"/>
    <dataValidation type="list" allowBlank="1" showInputMessage="1" showErrorMessage="1" sqref="F7" xr:uid="{00000000-0002-0000-0500-000008000000}">
      <formula1>Licence</formula1>
    </dataValidation>
    <dataValidation type="list" allowBlank="1" showInputMessage="1" showErrorMessage="1" sqref="C7" xr:uid="{00000000-0002-0000-0500-000009000000}">
      <formula1>"Sélectionnez…,Adhésion,Renouvellement"</formula1>
    </dataValidation>
    <dataValidation type="list" allowBlank="1" showInputMessage="1" showErrorMessage="1" sqref="C38:D38" xr:uid="{00000000-0002-0000-0500-00000A000000}">
      <formula1>"Sélectionnez…,Loisir,Quelques sorties concours,Compétition/Equipe"</formula1>
    </dataValidation>
    <dataValidation type="list" allowBlank="1" showInputMessage="1" showErrorMessage="1" sqref="F26" xr:uid="{00000000-0002-0000-0500-00000B000000}">
      <formula1>Jour_entrainement</formula1>
    </dataValidation>
    <dataValidation type="list" allowBlank="1" showInputMessage="1" showErrorMessage="1" sqref="F38" xr:uid="{00000000-0002-0000-0500-00000C000000}">
      <formula1>Niveau_Distinction</formula1>
    </dataValidation>
    <dataValidation type="list" allowBlank="1" showInputMessage="1" showErrorMessage="1" sqref="C36:D36" xr:uid="{00000000-0002-0000-0500-00000D000000}">
      <formula1>"Sélectionnez…,J'accepte,Je refuse"</formula1>
    </dataValidation>
    <dataValidation type="list" allowBlank="1" showInputMessage="1" showErrorMessage="1" sqref="C26" xr:uid="{00000000-0002-0000-0500-00000E000000}">
      <formula1>Categories_arc</formula1>
    </dataValidation>
  </dataValidations>
  <printOptions horizontalCentered="1"/>
  <pageMargins left="0.35433070866141736" right="0.35433070866141736" top="0.43307086614173229" bottom="0.35433070866141736" header="0.31496062992125984" footer="0.31496062992125984"/>
  <pageSetup paperSize="9" scale="9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pageSetUpPr fitToPage="1"/>
  </sheetPr>
  <dimension ref="B2:G56"/>
  <sheetViews>
    <sheetView showGridLines="0" workbookViewId="0">
      <selection activeCell="L27" sqref="L27"/>
    </sheetView>
  </sheetViews>
  <sheetFormatPr baseColWidth="10" defaultColWidth="9.140625" defaultRowHeight="15" x14ac:dyDescent="0.25"/>
  <cols>
    <col min="1" max="1" width="3.140625" customWidth="1"/>
    <col min="2" max="2" width="20.42578125" customWidth="1"/>
    <col min="3" max="3" width="30.42578125" customWidth="1"/>
    <col min="4" max="4" width="1.85546875" customWidth="1"/>
    <col min="5" max="5" width="18.28515625" customWidth="1"/>
    <col min="6" max="6" width="25.5703125" customWidth="1"/>
    <col min="7" max="256" width="11.42578125" customWidth="1"/>
  </cols>
  <sheetData>
    <row r="2" spans="2:6" ht="14.25" customHeight="1" x14ac:dyDescent="0.25"/>
    <row r="3" spans="2:6" ht="27.75" x14ac:dyDescent="0.4">
      <c r="C3" s="292" t="s">
        <v>34</v>
      </c>
      <c r="D3" s="292"/>
      <c r="E3" s="292"/>
      <c r="F3" s="54"/>
    </row>
    <row r="4" spans="2:6" ht="9" customHeight="1" x14ac:dyDescent="0.3">
      <c r="C4" s="3"/>
    </row>
    <row r="5" spans="2:6" ht="20.25" x14ac:dyDescent="0.3">
      <c r="C5" s="295" t="str">
        <f>"Saison "&amp;Param!C2</f>
        <v>Saison 2025-2026</v>
      </c>
      <c r="D5" s="295"/>
      <c r="E5" s="295"/>
      <c r="F5" s="178" t="s">
        <v>70</v>
      </c>
    </row>
    <row r="6" spans="2:6" ht="18" customHeight="1" x14ac:dyDescent="0.3">
      <c r="B6" s="7"/>
      <c r="C6" s="7"/>
      <c r="D6" s="7"/>
      <c r="E6" s="7"/>
      <c r="F6" s="7"/>
    </row>
    <row r="7" spans="2:6" ht="15.75" x14ac:dyDescent="0.25">
      <c r="B7" s="66" t="s">
        <v>71</v>
      </c>
      <c r="C7" s="67" t="s">
        <v>46</v>
      </c>
      <c r="D7" s="68"/>
      <c r="E7" s="68" t="s">
        <v>41</v>
      </c>
      <c r="F7" s="67" t="s">
        <v>46</v>
      </c>
    </row>
    <row r="8" spans="2:6" ht="15.75" x14ac:dyDescent="0.25">
      <c r="B8" s="69" t="s">
        <v>72</v>
      </c>
      <c r="C8" s="70"/>
      <c r="D8" s="71"/>
      <c r="E8" s="72" t="s">
        <v>73</v>
      </c>
      <c r="F8" s="73"/>
    </row>
    <row r="9" spans="2:6" ht="5.0999999999999996" customHeight="1" x14ac:dyDescent="0.25">
      <c r="B9" s="2"/>
      <c r="C9" s="26"/>
      <c r="D9" s="26"/>
      <c r="E9" s="26"/>
      <c r="F9" s="26"/>
    </row>
    <row r="10" spans="2:6" ht="15.75" x14ac:dyDescent="0.25">
      <c r="B10" s="66" t="s">
        <v>74</v>
      </c>
      <c r="C10" s="216"/>
      <c r="D10" s="68"/>
      <c r="E10" s="107" t="s">
        <v>75</v>
      </c>
      <c r="F10" s="73"/>
    </row>
    <row r="11" spans="2:6" ht="15.75" x14ac:dyDescent="0.25">
      <c r="B11" s="74" t="s">
        <v>76</v>
      </c>
      <c r="C11" s="217"/>
      <c r="D11" s="26"/>
      <c r="E11" s="48" t="s">
        <v>77</v>
      </c>
      <c r="F11" s="90"/>
    </row>
    <row r="12" spans="2:6" ht="15.75" x14ac:dyDescent="0.25">
      <c r="B12" s="74" t="s">
        <v>78</v>
      </c>
      <c r="C12" s="218"/>
      <c r="D12" s="26"/>
      <c r="E12" s="165" t="s">
        <v>79</v>
      </c>
      <c r="F12" s="90"/>
    </row>
    <row r="13" spans="2:6" ht="15.75" x14ac:dyDescent="0.25">
      <c r="B13" s="74" t="s">
        <v>80</v>
      </c>
      <c r="C13" s="219"/>
      <c r="D13" s="26"/>
      <c r="E13" s="165" t="s">
        <v>81</v>
      </c>
      <c r="F13" s="90"/>
    </row>
    <row r="14" spans="2:6" ht="5.0999999999999996" customHeight="1" x14ac:dyDescent="0.25">
      <c r="B14" s="2"/>
      <c r="C14" s="26"/>
      <c r="D14" s="26"/>
      <c r="E14" s="26"/>
      <c r="F14" s="26"/>
    </row>
    <row r="15" spans="2:6" ht="15.75" x14ac:dyDescent="0.25">
      <c r="B15" s="74" t="s">
        <v>82</v>
      </c>
      <c r="C15" s="311"/>
      <c r="D15" s="312"/>
      <c r="E15" s="312"/>
      <c r="F15" s="313"/>
    </row>
    <row r="16" spans="2:6" ht="15.75" x14ac:dyDescent="0.25">
      <c r="B16" s="74" t="s">
        <v>83</v>
      </c>
      <c r="C16" s="311"/>
      <c r="D16" s="312"/>
      <c r="E16" s="312"/>
      <c r="F16" s="313"/>
    </row>
    <row r="17" spans="2:6" ht="15.75" x14ac:dyDescent="0.25">
      <c r="B17" s="74" t="s">
        <v>84</v>
      </c>
      <c r="C17" s="319"/>
      <c r="D17" s="312"/>
      <c r="E17" s="312"/>
      <c r="F17" s="313"/>
    </row>
    <row r="18" spans="2:6" ht="15.75" x14ac:dyDescent="0.25">
      <c r="B18" s="208" t="s">
        <v>85</v>
      </c>
      <c r="C18" s="168" t="s">
        <v>46</v>
      </c>
      <c r="D18" s="210"/>
      <c r="E18" s="209" t="s">
        <v>86</v>
      </c>
      <c r="F18" s="212"/>
    </row>
    <row r="19" spans="2:6" ht="15.75" x14ac:dyDescent="0.25">
      <c r="B19" s="83" t="s">
        <v>87</v>
      </c>
      <c r="C19" s="211"/>
      <c r="D19" s="71"/>
      <c r="E19" s="108" t="s">
        <v>88</v>
      </c>
      <c r="F19" s="212"/>
    </row>
    <row r="20" spans="2:6" ht="5.0999999999999996" customHeight="1" x14ac:dyDescent="0.25">
      <c r="B20" s="2"/>
      <c r="C20" s="26"/>
      <c r="D20" s="26"/>
      <c r="E20" s="26"/>
      <c r="F20" s="26"/>
    </row>
    <row r="21" spans="2:6" ht="34.5" customHeight="1" x14ac:dyDescent="0.25">
      <c r="B21" s="317" t="s">
        <v>89</v>
      </c>
      <c r="C21" s="318"/>
      <c r="D21" s="318"/>
      <c r="E21" s="318"/>
      <c r="F21" s="77" t="s">
        <v>46</v>
      </c>
    </row>
    <row r="22" spans="2:6" ht="5.0999999999999996" customHeight="1" x14ac:dyDescent="0.25">
      <c r="B22" s="2"/>
      <c r="C22" s="26"/>
      <c r="D22" s="26"/>
      <c r="E22" s="26"/>
      <c r="F22" s="26"/>
    </row>
    <row r="23" spans="2:6" ht="15.75" x14ac:dyDescent="0.25">
      <c r="B23" s="78" t="s">
        <v>40</v>
      </c>
      <c r="C23" s="79" t="str">
        <f>IF(ISNA(VLOOKUP(C11,Catégorie,2,TRUE)),"",VLOOKUP(C11,Catégorie,3,TRUE))</f>
        <v/>
      </c>
      <c r="D23" s="68"/>
      <c r="E23" s="9" t="s">
        <v>90</v>
      </c>
      <c r="F23" s="82" t="s">
        <v>46</v>
      </c>
    </row>
    <row r="24" spans="2:6" ht="15.75" x14ac:dyDescent="0.25">
      <c r="B24" s="81" t="s">
        <v>91</v>
      </c>
      <c r="C24" s="47"/>
      <c r="D24" s="26"/>
      <c r="E24" s="9" t="s">
        <v>92</v>
      </c>
      <c r="F24" s="212"/>
    </row>
    <row r="25" spans="2:6" ht="31.5" x14ac:dyDescent="0.25">
      <c r="B25" s="81" t="s">
        <v>93</v>
      </c>
      <c r="C25" s="47" t="s">
        <v>46</v>
      </c>
      <c r="D25" s="26"/>
      <c r="E25" s="9" t="s">
        <v>94</v>
      </c>
      <c r="F25" s="47" t="s">
        <v>46</v>
      </c>
    </row>
    <row r="26" spans="2:6" ht="15.75" x14ac:dyDescent="0.25">
      <c r="B26" s="83" t="s">
        <v>95</v>
      </c>
      <c r="C26" s="80" t="s">
        <v>46</v>
      </c>
      <c r="D26" s="71"/>
      <c r="E26" s="108" t="s">
        <v>96</v>
      </c>
      <c r="F26" s="84"/>
    </row>
    <row r="27" spans="2:6" ht="5.0999999999999996" customHeight="1" x14ac:dyDescent="0.25">
      <c r="B27" s="2"/>
      <c r="C27" s="26"/>
      <c r="D27" s="26"/>
      <c r="E27" s="26"/>
      <c r="F27" s="26"/>
    </row>
    <row r="28" spans="2:6" ht="15.75" x14ac:dyDescent="0.25">
      <c r="B28" s="66" t="s">
        <v>97</v>
      </c>
      <c r="C28" s="87" t="s">
        <v>98</v>
      </c>
      <c r="D28" s="88"/>
      <c r="E28" s="85"/>
      <c r="F28" s="97" t="s">
        <v>99</v>
      </c>
    </row>
    <row r="29" spans="2:6" ht="15.75" x14ac:dyDescent="0.25">
      <c r="B29" s="74"/>
      <c r="C29" s="164" t="s">
        <v>100</v>
      </c>
      <c r="D29" s="165"/>
      <c r="E29" s="168" t="s">
        <v>46</v>
      </c>
      <c r="F29" s="166" t="s">
        <v>101</v>
      </c>
    </row>
    <row r="30" spans="2:6" ht="15.75" x14ac:dyDescent="0.25">
      <c r="B30" s="74"/>
      <c r="C30" s="164" t="s">
        <v>102</v>
      </c>
      <c r="D30" s="2"/>
      <c r="E30" s="214" t="s">
        <v>46</v>
      </c>
      <c r="F30" s="215" t="s">
        <v>101</v>
      </c>
    </row>
    <row r="31" spans="2:6" ht="15.75" x14ac:dyDescent="0.25">
      <c r="B31" s="213" t="s">
        <v>103</v>
      </c>
      <c r="C31" s="164" t="s">
        <v>104</v>
      </c>
      <c r="E31" s="167" t="s">
        <v>46</v>
      </c>
      <c r="F31" s="95" t="s">
        <v>101</v>
      </c>
    </row>
    <row r="32" spans="2:6" ht="5.0999999999999996" customHeight="1" x14ac:dyDescent="0.25">
      <c r="B32" s="2"/>
      <c r="C32" s="86"/>
      <c r="D32" s="2"/>
      <c r="E32" s="86"/>
      <c r="F32" s="86"/>
    </row>
    <row r="33" spans="2:6" ht="15.75" x14ac:dyDescent="0.25">
      <c r="B33" s="94" t="s">
        <v>105</v>
      </c>
      <c r="C33" s="314" t="s">
        <v>46</v>
      </c>
      <c r="D33" s="315"/>
      <c r="E33" s="316"/>
      <c r="F33" s="96" t="s">
        <v>106</v>
      </c>
    </row>
    <row r="34" spans="2:6" ht="27" customHeight="1" x14ac:dyDescent="0.25">
      <c r="B34" s="306" t="s">
        <v>107</v>
      </c>
      <c r="C34" s="306"/>
      <c r="D34" s="306"/>
      <c r="E34" s="306"/>
      <c r="F34" s="306"/>
    </row>
    <row r="35" spans="2:6" ht="5.25" customHeight="1" x14ac:dyDescent="0.25">
      <c r="B35" s="86"/>
      <c r="C35" s="86"/>
      <c r="D35" s="86"/>
      <c r="E35" s="89"/>
      <c r="F35" s="89"/>
    </row>
    <row r="36" spans="2:6" ht="15.75" x14ac:dyDescent="0.25">
      <c r="B36" s="195" t="s">
        <v>108</v>
      </c>
      <c r="C36" s="322" t="s">
        <v>46</v>
      </c>
      <c r="D36" s="323"/>
      <c r="E36" s="321" t="str">
        <f>"Prise de l'assurance individuelle accident (incluse : "&amp;Assurance_Individuelle&amp;"€) ou non"</f>
        <v>Prise de l'assurance individuelle accident (incluse : 0,28€) ou non</v>
      </c>
      <c r="F36" s="321"/>
    </row>
    <row r="37" spans="2:6" ht="5.25" customHeight="1" x14ac:dyDescent="0.25">
      <c r="B37" s="86"/>
      <c r="C37" s="86"/>
      <c r="D37" s="86"/>
      <c r="E37" s="89"/>
      <c r="F37" s="89"/>
    </row>
    <row r="38" spans="2:6" ht="15.75" customHeight="1" x14ac:dyDescent="0.25">
      <c r="B38" s="119" t="s">
        <v>109</v>
      </c>
      <c r="C38" s="314" t="s">
        <v>46</v>
      </c>
      <c r="D38" s="320"/>
      <c r="E38" s="175" t="s">
        <v>110</v>
      </c>
      <c r="F38" s="177" t="s">
        <v>46</v>
      </c>
    </row>
    <row r="39" spans="2:6" ht="6.6" customHeight="1" x14ac:dyDescent="0.25">
      <c r="B39" s="161"/>
      <c r="C39" s="162"/>
      <c r="D39" s="161"/>
      <c r="E39" s="162"/>
      <c r="F39" s="162"/>
    </row>
    <row r="40" spans="2:6" ht="15.75" x14ac:dyDescent="0.25">
      <c r="B40" s="6" t="s">
        <v>111</v>
      </c>
      <c r="D40" s="2"/>
    </row>
    <row r="41" spans="2:6" ht="5.0999999999999996" customHeight="1" x14ac:dyDescent="0.25">
      <c r="B41" s="2"/>
      <c r="D41" s="2"/>
    </row>
    <row r="42" spans="2:6" ht="15.75" customHeight="1" x14ac:dyDescent="0.25">
      <c r="B42" s="86"/>
      <c r="C42" s="86"/>
      <c r="D42" s="86"/>
      <c r="E42" s="89"/>
      <c r="F42" s="89"/>
    </row>
    <row r="43" spans="2:6" ht="15.75" x14ac:dyDescent="0.25">
      <c r="B43" s="2"/>
      <c r="D43" s="2"/>
    </row>
    <row r="45" spans="2:6" ht="15.75" x14ac:dyDescent="0.25">
      <c r="B45" s="2"/>
      <c r="D45" s="2"/>
    </row>
    <row r="46" spans="2:6" ht="15.75" x14ac:dyDescent="0.25">
      <c r="B46" s="2"/>
      <c r="D46" s="2"/>
    </row>
    <row r="47" spans="2:6" ht="15.75" x14ac:dyDescent="0.25">
      <c r="B47" s="309" t="s">
        <v>112</v>
      </c>
      <c r="C47" s="309"/>
      <c r="D47" s="309"/>
      <c r="E47" s="309"/>
      <c r="F47" s="309"/>
    </row>
    <row r="48" spans="2:6" ht="5.0999999999999996" customHeight="1" x14ac:dyDescent="0.25">
      <c r="B48" s="2"/>
      <c r="D48" s="2"/>
    </row>
    <row r="49" spans="2:7" ht="15.75" x14ac:dyDescent="0.25">
      <c r="B49" s="48" t="str">
        <f>"Je, soussigné(e)"</f>
        <v>Je, soussigné(e)</v>
      </c>
      <c r="C49" s="49" t="s">
        <v>113</v>
      </c>
      <c r="D49" s="43"/>
      <c r="E49" s="48" t="s">
        <v>114</v>
      </c>
      <c r="F49" s="50" t="s">
        <v>46</v>
      </c>
    </row>
    <row r="50" spans="2:7" ht="47.25" customHeight="1" x14ac:dyDescent="0.25">
      <c r="B50" s="308" t="str">
        <f>"déclare inscrire "&amp;IF(C11&gt;=Param!C9,C10&amp;" "&amp;F10,".......................")&amp;" au club de Tir à l’Arc « Les Archers du Phénix », et je lui donne, par la présente, l’autorisation de pratiquer le tir à l’arc, tant en loisir qu’en compétition. J’ai pris bonne note du règlement intérieur de l’Association."</f>
        <v>déclare inscrire ....................... au club de Tir à l’Arc « Les Archers du Phénix », et je lui donne, par la présente, l’autorisation de pratiquer le tir à l’arc, tant en loisir qu’en compétition. J’ai pris bonne note du règlement intérieur de l’Association.</v>
      </c>
      <c r="C50" s="308"/>
      <c r="D50" s="308"/>
      <c r="E50" s="308"/>
      <c r="F50" s="308"/>
    </row>
    <row r="51" spans="2:7" ht="4.5" customHeight="1" x14ac:dyDescent="0.25">
      <c r="B51" s="2"/>
      <c r="D51" s="2"/>
    </row>
    <row r="52" spans="2:7" ht="15.75" x14ac:dyDescent="0.25">
      <c r="B52" s="78" t="s">
        <v>115</v>
      </c>
      <c r="C52" s="75"/>
      <c r="D52" s="68"/>
      <c r="E52" s="107" t="s">
        <v>116</v>
      </c>
      <c r="F52" s="76"/>
    </row>
    <row r="53" spans="2:7" ht="15.75" x14ac:dyDescent="0.25">
      <c r="B53" s="69" t="s">
        <v>117</v>
      </c>
      <c r="C53" s="75"/>
      <c r="D53" s="71"/>
      <c r="E53" s="108" t="s">
        <v>118</v>
      </c>
      <c r="F53" s="76"/>
    </row>
    <row r="56" spans="2:7" ht="37.5" customHeight="1" x14ac:dyDescent="0.25">
      <c r="B56" s="307" t="s">
        <v>33</v>
      </c>
      <c r="C56" s="307"/>
      <c r="D56" s="307"/>
      <c r="E56" s="307"/>
      <c r="F56" s="307"/>
      <c r="G56" s="64"/>
    </row>
  </sheetData>
  <sheetProtection selectLockedCells="1"/>
  <mergeCells count="14">
    <mergeCell ref="B56:F56"/>
    <mergeCell ref="C3:E3"/>
    <mergeCell ref="C5:E5"/>
    <mergeCell ref="B50:F50"/>
    <mergeCell ref="C36:D36"/>
    <mergeCell ref="E36:F36"/>
    <mergeCell ref="C38:D38"/>
    <mergeCell ref="C15:F15"/>
    <mergeCell ref="C16:F16"/>
    <mergeCell ref="C17:F17"/>
    <mergeCell ref="B21:E21"/>
    <mergeCell ref="C33:E33"/>
    <mergeCell ref="B34:F34"/>
    <mergeCell ref="B47:F47"/>
  </mergeCells>
  <conditionalFormatting sqref="C7">
    <cfRule type="cellIs" dxfId="17" priority="20" stopIfTrue="1" operator="equal">
      <formula>"Sélectionnez…"</formula>
    </cfRule>
  </conditionalFormatting>
  <conditionalFormatting sqref="C18">
    <cfRule type="cellIs" dxfId="16" priority="16" stopIfTrue="1" operator="equal">
      <formula>"Sélectionnez…"</formula>
    </cfRule>
  </conditionalFormatting>
  <conditionalFormatting sqref="C24:C26">
    <cfRule type="cellIs" dxfId="15" priority="1" stopIfTrue="1" operator="equal">
      <formula>"Sélectionnez…"</formula>
    </cfRule>
  </conditionalFormatting>
  <conditionalFormatting sqref="C36">
    <cfRule type="cellIs" dxfId="14" priority="9" stopIfTrue="1" operator="equal">
      <formula>"Sélectionnez…"</formula>
    </cfRule>
  </conditionalFormatting>
  <conditionalFormatting sqref="C38">
    <cfRule type="cellIs" dxfId="13" priority="28" stopIfTrue="1" operator="equal">
      <formula>"Sélectionnez…"</formula>
    </cfRule>
  </conditionalFormatting>
  <conditionalFormatting sqref="C49">
    <cfRule type="cellIs" dxfId="12" priority="29" stopIfTrue="1" operator="notEqual">
      <formula>"Nom &amp; prénom"</formula>
    </cfRule>
    <cfRule type="cellIs" dxfId="11" priority="30" stopIfTrue="1" operator="equal">
      <formula>"Nom &amp; prénom"</formula>
    </cfRule>
    <cfRule type="cellIs" dxfId="10" priority="32" stopIfTrue="1" operator="notEqual">
      <formula>"Nom &amp; prénom"</formula>
    </cfRule>
  </conditionalFormatting>
  <conditionalFormatting sqref="E29:E31">
    <cfRule type="cellIs" dxfId="9" priority="10" stopIfTrue="1" operator="equal">
      <formula>"Sélectionnez…"</formula>
    </cfRule>
  </conditionalFormatting>
  <conditionalFormatting sqref="E35">
    <cfRule type="cellIs" dxfId="8" priority="7" stopIfTrue="1" operator="equal">
      <formula>"Sélectionnez…"</formula>
    </cfRule>
  </conditionalFormatting>
  <conditionalFormatting sqref="E37">
    <cfRule type="cellIs" dxfId="7" priority="8" stopIfTrue="1" operator="equal">
      <formula>"Sélectionnez…"</formula>
    </cfRule>
  </conditionalFormatting>
  <conditionalFormatting sqref="F7">
    <cfRule type="cellIs" dxfId="6" priority="18" operator="equal">
      <formula>"Sélectionnez…"</formula>
    </cfRule>
  </conditionalFormatting>
  <conditionalFormatting sqref="F11:F13">
    <cfRule type="cellIs" dxfId="5" priority="22" stopIfTrue="1" operator="equal">
      <formula>"Sélectionnez…"</formula>
    </cfRule>
  </conditionalFormatting>
  <conditionalFormatting sqref="F21 C33 E42">
    <cfRule type="cellIs" dxfId="4" priority="33" stopIfTrue="1" operator="equal">
      <formula>"Sélectionnez…"</formula>
    </cfRule>
  </conditionalFormatting>
  <conditionalFormatting sqref="F23">
    <cfRule type="cellIs" dxfId="3" priority="6" stopIfTrue="1" operator="equal">
      <formula>"Sélectionnez…"</formula>
    </cfRule>
  </conditionalFormatting>
  <conditionalFormatting sqref="F25:F26">
    <cfRule type="cellIs" dxfId="2" priority="2" stopIfTrue="1" operator="equal">
      <formula>"Sélectionnez…"</formula>
    </cfRule>
  </conditionalFormatting>
  <conditionalFormatting sqref="F38">
    <cfRule type="cellIs" dxfId="1" priority="27" stopIfTrue="1" operator="equal">
      <formula>"Sélectionnez…"</formula>
    </cfRule>
  </conditionalFormatting>
  <conditionalFormatting sqref="F49">
    <cfRule type="cellIs" dxfId="0" priority="31" stopIfTrue="1" operator="equal">
      <formula>"Sélectionnez…"</formula>
    </cfRule>
  </conditionalFormatting>
  <dataValidations count="15">
    <dataValidation allowBlank="1" showInputMessage="1" showErrorMessage="1" prompt="Saisir votre Nom et Prénom" sqref="C49" xr:uid="{00000000-0002-0000-0600-000000000000}"/>
    <dataValidation type="list" allowBlank="1" sqref="F49" xr:uid="{00000000-0002-0000-0600-000001000000}">
      <formula1>"Sélectionnez…,Père,Mère,Curateur,Tuteur"</formula1>
    </dataValidation>
    <dataValidation type="list" allowBlank="1" showInputMessage="1" showErrorMessage="1" sqref="E29:E31 E42 E35 E37 F21 F25" xr:uid="{00000000-0002-0000-0600-000002000000}">
      <formula1>"Sélectionnez…,Oui,Non"</formula1>
    </dataValidation>
    <dataValidation type="list" allowBlank="1" showInputMessage="1" showErrorMessage="1" sqref="C25" xr:uid="{00000000-0002-0000-0600-000003000000}">
      <formula1>"Sélectionnez…,S,M,L,XL,XXL"</formula1>
    </dataValidation>
    <dataValidation type="list" allowBlank="1" showInputMessage="1" showErrorMessage="1" sqref="F23" xr:uid="{00000000-0002-0000-0600-000004000000}">
      <formula1>"Sélectionnez…,Droit,Gauche,Les deux"</formula1>
    </dataValidation>
    <dataValidation type="list" allowBlank="1" showInputMessage="1" showErrorMessage="1" sqref="C18" xr:uid="{00000000-0002-0000-0600-000005000000}">
      <formula1>"Sélectionnez…,Femme,Homme"</formula1>
    </dataValidation>
    <dataValidation allowBlank="1" showInputMessage="1" sqref="F11:F13" xr:uid="{00000000-0002-0000-0600-000006000000}"/>
    <dataValidation type="list" allowBlank="1" showInputMessage="1" showErrorMessage="1" sqref="C33" xr:uid="{00000000-0002-0000-0600-000007000000}">
      <formula1>"Sélectionnez…,Satuts &amp; Règlement Intérieur de l'association,Satuts de l'association,Règlement Intérieur de l'association,"</formula1>
    </dataValidation>
    <dataValidation type="list" allowBlank="1" showInputMessage="1" showErrorMessage="1" sqref="F7" xr:uid="{00000000-0002-0000-0600-000008000000}">
      <formula1>Licence</formula1>
    </dataValidation>
    <dataValidation type="list" allowBlank="1" showInputMessage="1" showErrorMessage="1" sqref="C7" xr:uid="{00000000-0002-0000-0600-000009000000}">
      <formula1>"Sélectionnez…,Adhésion,Renouvellement"</formula1>
    </dataValidation>
    <dataValidation type="list" allowBlank="1" showInputMessage="1" showErrorMessage="1" sqref="C38:D38" xr:uid="{00000000-0002-0000-0600-00000A000000}">
      <formula1>"Sélectionnez…,Loisir,Quelques sorties concours,Compétition/Equipe"</formula1>
    </dataValidation>
    <dataValidation type="list" allowBlank="1" showInputMessage="1" showErrorMessage="1" sqref="F26" xr:uid="{00000000-0002-0000-0600-00000B000000}">
      <formula1>Jour_entrainement</formula1>
    </dataValidation>
    <dataValidation type="list" allowBlank="1" showInputMessage="1" showErrorMessage="1" sqref="F38" xr:uid="{00000000-0002-0000-0600-00000C000000}">
      <formula1>Niveau_Distinction</formula1>
    </dataValidation>
    <dataValidation type="list" allowBlank="1" showInputMessage="1" showErrorMessage="1" sqref="C36:D36" xr:uid="{00000000-0002-0000-0600-00000D000000}">
      <formula1>"Sélectionnez…,J'accepte,Je refuse"</formula1>
    </dataValidation>
    <dataValidation type="list" allowBlank="1" showInputMessage="1" showErrorMessage="1" sqref="C26" xr:uid="{00000000-0002-0000-0600-00000E000000}">
      <formula1>Categories_arc</formula1>
    </dataValidation>
  </dataValidations>
  <printOptions horizontalCentered="1"/>
  <pageMargins left="0.35433070866141736" right="0.35433070866141736" top="0.43307086614173229" bottom="0.35433070866141736" header="0.31496062992125984" footer="0.31496062992125984"/>
  <pageSetup paperSize="9" scale="9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pageSetUpPr fitToPage="1"/>
  </sheetPr>
  <dimension ref="B2:G41"/>
  <sheetViews>
    <sheetView showGridLines="0" tabSelected="1" workbookViewId="0">
      <selection activeCell="B1" sqref="B1:J53"/>
    </sheetView>
  </sheetViews>
  <sheetFormatPr baseColWidth="10" defaultColWidth="11.42578125" defaultRowHeight="15" x14ac:dyDescent="0.25"/>
  <cols>
    <col min="1" max="1" width="2" style="57" customWidth="1"/>
    <col min="2" max="2" width="3.5703125" style="56" customWidth="1"/>
    <col min="3" max="3" width="84.28515625" style="56" bestFit="1" customWidth="1"/>
    <col min="4" max="16384" width="11.42578125" style="57"/>
  </cols>
  <sheetData>
    <row r="2" spans="2:3" x14ac:dyDescent="0.25">
      <c r="B2" s="57"/>
    </row>
    <row r="4" spans="2:3" x14ac:dyDescent="0.25">
      <c r="C4" s="57"/>
    </row>
    <row r="5" spans="2:3" ht="21" x14ac:dyDescent="0.25">
      <c r="C5" s="92" t="s">
        <v>119</v>
      </c>
    </row>
    <row r="11" spans="2:3" ht="30" x14ac:dyDescent="0.25">
      <c r="B11" s="65" t="str">
        <f>ROW()-10&amp;" - "</f>
        <v xml:space="preserve">1 - </v>
      </c>
      <c r="C11" s="56" t="s">
        <v>120</v>
      </c>
    </row>
    <row r="12" spans="2:3" x14ac:dyDescent="0.25">
      <c r="B12" s="65" t="str">
        <f t="shared" ref="B12:B16" si="0">ROW()-10&amp;" - "</f>
        <v xml:space="preserve">2 - </v>
      </c>
      <c r="C12" s="56" t="str">
        <f>"Sauvegardez le fichier sous le nom :  '"&amp;YEAR(Date_forum)&amp;"-Formulaire_inscription_nom de votre famille.xls'"</f>
        <v>Sauvegardez le fichier sous le nom :  '2025-Formulaire_inscription_nom de votre famille.xls'</v>
      </c>
    </row>
    <row r="13" spans="2:3" x14ac:dyDescent="0.25">
      <c r="B13" s="65" t="str">
        <f t="shared" si="0"/>
        <v xml:space="preserve">3 - </v>
      </c>
      <c r="C13" s="256" t="s">
        <v>121</v>
      </c>
    </row>
    <row r="14" spans="2:3" ht="31.5" customHeight="1" x14ac:dyDescent="0.25">
      <c r="B14" s="65" t="str">
        <f t="shared" si="0"/>
        <v xml:space="preserve">4 - </v>
      </c>
      <c r="C14" s="56" t="s">
        <v>122</v>
      </c>
    </row>
    <row r="15" spans="2:3" x14ac:dyDescent="0.25">
      <c r="B15" s="65" t="str">
        <f t="shared" si="0"/>
        <v xml:space="preserve">5 - </v>
      </c>
      <c r="C15" s="56" t="s">
        <v>123</v>
      </c>
    </row>
    <row r="16" spans="2:3" ht="60" x14ac:dyDescent="0.25">
      <c r="B16" s="65" t="str">
        <f t="shared" si="0"/>
        <v xml:space="preserve">6 - </v>
      </c>
      <c r="C16" s="56" t="s">
        <v>124</v>
      </c>
    </row>
    <row r="19" spans="2:3" x14ac:dyDescent="0.25">
      <c r="B19" s="98" t="s">
        <v>125</v>
      </c>
      <c r="C19" s="99"/>
    </row>
    <row r="20" spans="2:3" x14ac:dyDescent="0.25">
      <c r="B20" s="100"/>
      <c r="C20" s="101" t="s">
        <v>126</v>
      </c>
    </row>
    <row r="21" spans="2:3" x14ac:dyDescent="0.25">
      <c r="B21" s="100"/>
      <c r="C21" s="101"/>
    </row>
    <row r="22" spans="2:3" ht="30" x14ac:dyDescent="0.25">
      <c r="B22" s="100"/>
      <c r="C22" s="101" t="str">
        <f>"L'inscription ne sera définitivement validée que le jour du Forum des Associations le "&amp; Param!D3&amp;" avec :"</f>
        <v>L'inscription ne sera définitivement validée que le jour du Forum des Associations le samedi 06 septembre 2025 avec :</v>
      </c>
    </row>
    <row r="23" spans="2:3" x14ac:dyDescent="0.25">
      <c r="B23" s="100"/>
      <c r="C23" s="102" t="s">
        <v>127</v>
      </c>
    </row>
    <row r="24" spans="2:3" ht="15" customHeight="1" x14ac:dyDescent="0.25">
      <c r="B24" s="100"/>
      <c r="C24" s="102" t="s">
        <v>128</v>
      </c>
    </row>
    <row r="25" spans="2:3" x14ac:dyDescent="0.25">
      <c r="B25" s="100"/>
      <c r="C25" s="102" t="s">
        <v>129</v>
      </c>
    </row>
    <row r="26" spans="2:3" x14ac:dyDescent="0.25">
      <c r="B26" s="103"/>
      <c r="C26" s="104" t="s">
        <v>130</v>
      </c>
    </row>
    <row r="27" spans="2:3" x14ac:dyDescent="0.25">
      <c r="C27" s="56" t="s">
        <v>131</v>
      </c>
    </row>
    <row r="28" spans="2:3" x14ac:dyDescent="0.25">
      <c r="C28" s="56" t="s">
        <v>131</v>
      </c>
    </row>
    <row r="30" spans="2:3" x14ac:dyDescent="0.25">
      <c r="C30" s="56" t="s">
        <v>131</v>
      </c>
    </row>
    <row r="31" spans="2:3" x14ac:dyDescent="0.25">
      <c r="C31" s="56" t="s">
        <v>131</v>
      </c>
    </row>
    <row r="32" spans="2:3" x14ac:dyDescent="0.25">
      <c r="C32" s="56" t="s">
        <v>131</v>
      </c>
    </row>
    <row r="33" spans="2:7" x14ac:dyDescent="0.25">
      <c r="C33" s="56" t="s">
        <v>131</v>
      </c>
    </row>
    <row r="34" spans="2:7" x14ac:dyDescent="0.25">
      <c r="C34" s="56" t="s">
        <v>131</v>
      </c>
    </row>
    <row r="35" spans="2:7" x14ac:dyDescent="0.25">
      <c r="C35" s="56" t="s">
        <v>131</v>
      </c>
    </row>
    <row r="36" spans="2:7" x14ac:dyDescent="0.25">
      <c r="C36" s="56" t="s">
        <v>131</v>
      </c>
    </row>
    <row r="37" spans="2:7" x14ac:dyDescent="0.25">
      <c r="C37" s="56" t="s">
        <v>131</v>
      </c>
    </row>
    <row r="38" spans="2:7" x14ac:dyDescent="0.25">
      <c r="C38" s="56" t="s">
        <v>131</v>
      </c>
    </row>
    <row r="39" spans="2:7" x14ac:dyDescent="0.25">
      <c r="C39" s="56" t="s">
        <v>131</v>
      </c>
    </row>
    <row r="40" spans="2:7" x14ac:dyDescent="0.25">
      <c r="C40" s="56" t="s">
        <v>131</v>
      </c>
    </row>
    <row r="41" spans="2:7" customFormat="1" ht="37.5" customHeight="1" x14ac:dyDescent="0.25">
      <c r="B41" s="307" t="s">
        <v>33</v>
      </c>
      <c r="C41" s="307"/>
      <c r="D41" s="64"/>
      <c r="E41" s="64"/>
      <c r="F41" s="64"/>
      <c r="G41" s="64"/>
    </row>
  </sheetData>
  <sheetProtection selectLockedCells="1" selectUnlockedCells="1"/>
  <mergeCells count="1">
    <mergeCell ref="B41:C41"/>
  </mergeCells>
  <pageMargins left="0.70866141732283472" right="0.70866141732283472" top="0.74803149606299213" bottom="0.74803149606299213" header="0.31496062992125984" footer="0.31496062992125984"/>
  <pageSetup paperSize="9" scale="9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Z111"/>
  <sheetViews>
    <sheetView showGridLines="0" zoomScaleNormal="100" workbookViewId="0">
      <selection activeCell="L27" sqref="L27"/>
    </sheetView>
  </sheetViews>
  <sheetFormatPr baseColWidth="10" defaultColWidth="9.140625" defaultRowHeight="15" customHeight="1" x14ac:dyDescent="0.25"/>
  <cols>
    <col min="1" max="1" width="11.42578125" customWidth="1"/>
    <col min="2" max="2" width="26.42578125" bestFit="1" customWidth="1"/>
    <col min="3" max="3" width="13" bestFit="1" customWidth="1"/>
    <col min="4" max="4" width="13.85546875" customWidth="1"/>
    <col min="5" max="9" width="11.42578125" customWidth="1"/>
    <col min="10" max="10" width="17.42578125" bestFit="1" customWidth="1"/>
    <col min="11" max="256" width="11.42578125" customWidth="1"/>
  </cols>
  <sheetData>
    <row r="2" spans="2:13" x14ac:dyDescent="0.25">
      <c r="B2" t="s">
        <v>132</v>
      </c>
      <c r="C2" t="str">
        <f>YEAR(C15) &amp;"-" &amp; YEAR(C15)+1</f>
        <v>2025-2026</v>
      </c>
      <c r="D2" s="1"/>
    </row>
    <row r="3" spans="2:13" x14ac:dyDescent="0.25">
      <c r="B3" t="s">
        <v>133</v>
      </c>
      <c r="C3" s="129">
        <v>45906</v>
      </c>
      <c r="D3" s="1" t="str">
        <f>TEXT(Date_forum,"jjjj jj mmmm aaaa")</f>
        <v>samedi 06 septembre 2025</v>
      </c>
    </row>
    <row r="5" spans="2:13" x14ac:dyDescent="0.25">
      <c r="B5" s="8" t="s">
        <v>134</v>
      </c>
      <c r="H5" t="s">
        <v>135</v>
      </c>
    </row>
    <row r="6" spans="2:13" x14ac:dyDescent="0.25">
      <c r="B6" s="39" t="s">
        <v>136</v>
      </c>
      <c r="C6" s="29" t="s">
        <v>137</v>
      </c>
      <c r="D6" s="29" t="s">
        <v>40</v>
      </c>
      <c r="E6" s="29" t="s">
        <v>138</v>
      </c>
      <c r="F6" s="29" t="s">
        <v>139</v>
      </c>
      <c r="G6" s="40" t="s">
        <v>140</v>
      </c>
      <c r="H6" s="30" t="s">
        <v>141</v>
      </c>
      <c r="I6" s="30" t="s">
        <v>142</v>
      </c>
      <c r="J6" s="106"/>
    </row>
    <row r="7" spans="2:13" x14ac:dyDescent="0.25">
      <c r="B7" s="122">
        <v>40</v>
      </c>
      <c r="C7" s="36">
        <f t="shared" ref="C7:C12" si="0">DATE(YEAR(C8)-B7,1,1)</f>
        <v>9863</v>
      </c>
      <c r="D7" s="125" t="s">
        <v>143</v>
      </c>
      <c r="E7" s="125" t="s">
        <v>144</v>
      </c>
      <c r="F7" s="38">
        <f>ROUNDDOWN(DAYS360(C8,DATE(YEAR($C$15)+1,1,1))/360,0)+1</f>
        <v>60</v>
      </c>
      <c r="G7" s="37">
        <f>ROUNDDOWN(DAYS360(C7,DATE(YEAR($C$15)+1,1,1))/360,0)</f>
        <v>99</v>
      </c>
      <c r="H7" s="21">
        <f>$I$33+$C$19</f>
        <v>249.5</v>
      </c>
      <c r="I7" s="21">
        <f t="shared" ref="I7:I14" si="1">H7-$C$19</f>
        <v>199.5</v>
      </c>
      <c r="J7" s="115"/>
      <c r="M7" s="157" t="s">
        <v>145</v>
      </c>
    </row>
    <row r="8" spans="2:13" x14ac:dyDescent="0.25">
      <c r="B8" s="123">
        <v>20</v>
      </c>
      <c r="C8" s="32">
        <f t="shared" si="0"/>
        <v>24473</v>
      </c>
      <c r="D8" s="126" t="s">
        <v>146</v>
      </c>
      <c r="E8" s="126" t="s">
        <v>147</v>
      </c>
      <c r="F8" s="33">
        <f t="shared" ref="F8:F14" si="2">ROUNDDOWN(DAYS360(C9,DATE(YEAR($C$15)+1,1,1))/360,0)+1</f>
        <v>40</v>
      </c>
      <c r="G8" s="14">
        <f t="shared" ref="G8:G14" si="3">ROUNDDOWN(DAYS360(C8,DATE(YEAR($C$15)+1,1,1))/360,0)</f>
        <v>59</v>
      </c>
      <c r="H8" s="15">
        <f>$I$33+$C$19</f>
        <v>249.5</v>
      </c>
      <c r="I8" s="21">
        <f t="shared" si="1"/>
        <v>199.5</v>
      </c>
      <c r="J8" s="115"/>
      <c r="M8" s="157" t="s">
        <v>148</v>
      </c>
    </row>
    <row r="9" spans="2:13" x14ac:dyDescent="0.25">
      <c r="B9" s="123">
        <v>19</v>
      </c>
      <c r="C9" s="32">
        <f t="shared" si="0"/>
        <v>31778</v>
      </c>
      <c r="D9" s="126" t="s">
        <v>149</v>
      </c>
      <c r="E9" s="126" t="s">
        <v>150</v>
      </c>
      <c r="F9" s="33">
        <f t="shared" si="2"/>
        <v>21</v>
      </c>
      <c r="G9" s="14">
        <f t="shared" si="3"/>
        <v>39</v>
      </c>
      <c r="H9" s="15">
        <f>$I$33+$C$19</f>
        <v>249.5</v>
      </c>
      <c r="I9" s="21">
        <f t="shared" si="1"/>
        <v>199.5</v>
      </c>
      <c r="J9" s="115"/>
      <c r="M9" s="157" t="s">
        <v>151</v>
      </c>
    </row>
    <row r="10" spans="2:13" x14ac:dyDescent="0.25">
      <c r="B10" s="123">
        <v>3</v>
      </c>
      <c r="C10" s="32">
        <f t="shared" si="0"/>
        <v>38718</v>
      </c>
      <c r="D10" s="126" t="s">
        <v>152</v>
      </c>
      <c r="E10" s="126" t="s">
        <v>153</v>
      </c>
      <c r="F10" s="33">
        <f t="shared" si="2"/>
        <v>18</v>
      </c>
      <c r="G10" s="14">
        <f t="shared" si="3"/>
        <v>20</v>
      </c>
      <c r="H10" s="15">
        <f>$I$32+$C$19</f>
        <v>214</v>
      </c>
      <c r="I10" s="21">
        <f t="shared" si="1"/>
        <v>164</v>
      </c>
      <c r="J10" s="115" t="s">
        <v>152</v>
      </c>
    </row>
    <row r="11" spans="2:13" x14ac:dyDescent="0.25">
      <c r="B11" s="123">
        <v>3</v>
      </c>
      <c r="C11" s="32">
        <f t="shared" si="0"/>
        <v>39814</v>
      </c>
      <c r="D11" s="126" t="s">
        <v>154</v>
      </c>
      <c r="E11" s="126" t="s">
        <v>155</v>
      </c>
      <c r="F11" s="33">
        <f t="shared" si="2"/>
        <v>15</v>
      </c>
      <c r="G11" s="14">
        <f t="shared" si="3"/>
        <v>17</v>
      </c>
      <c r="H11" s="15">
        <f>$I$32+$C$19</f>
        <v>214</v>
      </c>
      <c r="I11" s="21">
        <f t="shared" si="1"/>
        <v>164</v>
      </c>
      <c r="J11" s="115" t="s">
        <v>154</v>
      </c>
    </row>
    <row r="12" spans="2:13" x14ac:dyDescent="0.25">
      <c r="B12" s="123">
        <v>2</v>
      </c>
      <c r="C12" s="32">
        <f t="shared" si="0"/>
        <v>40909</v>
      </c>
      <c r="D12" s="126" t="s">
        <v>156</v>
      </c>
      <c r="E12" s="126" t="s">
        <v>157</v>
      </c>
      <c r="F12" s="33">
        <f t="shared" si="2"/>
        <v>13</v>
      </c>
      <c r="G12" s="14">
        <f t="shared" si="3"/>
        <v>14</v>
      </c>
      <c r="H12" s="15">
        <f>$I$32+$C$19</f>
        <v>214</v>
      </c>
      <c r="I12" s="21">
        <f t="shared" si="1"/>
        <v>164</v>
      </c>
      <c r="J12" s="115" t="s">
        <v>156</v>
      </c>
    </row>
    <row r="13" spans="2:13" x14ac:dyDescent="0.25">
      <c r="B13" s="123">
        <v>2</v>
      </c>
      <c r="C13" s="32">
        <f>DATE(YEAR(C14)-B13,1,1)</f>
        <v>41640</v>
      </c>
      <c r="D13" s="126" t="s">
        <v>158</v>
      </c>
      <c r="E13" s="126" t="s">
        <v>159</v>
      </c>
      <c r="F13" s="33">
        <f t="shared" si="2"/>
        <v>11</v>
      </c>
      <c r="G13" s="14">
        <f t="shared" si="3"/>
        <v>12</v>
      </c>
      <c r="H13" s="15">
        <f>$I$32+$C$19</f>
        <v>214</v>
      </c>
      <c r="I13" s="21">
        <f t="shared" si="1"/>
        <v>164</v>
      </c>
      <c r="J13" s="115" t="s">
        <v>158</v>
      </c>
    </row>
    <row r="14" spans="2:13" x14ac:dyDescent="0.25">
      <c r="B14" s="124">
        <v>9</v>
      </c>
      <c r="C14" s="34">
        <f>DATE(YEAR(C15)-B14,1,1)</f>
        <v>42370</v>
      </c>
      <c r="D14" s="127" t="s">
        <v>9</v>
      </c>
      <c r="E14" s="127" t="s">
        <v>160</v>
      </c>
      <c r="F14" s="35">
        <f t="shared" si="2"/>
        <v>1</v>
      </c>
      <c r="G14" s="18">
        <f t="shared" si="3"/>
        <v>10</v>
      </c>
      <c r="H14" s="19">
        <f>I31</f>
        <v>141</v>
      </c>
      <c r="I14" s="21">
        <f t="shared" si="1"/>
        <v>91</v>
      </c>
      <c r="J14" s="115" t="s">
        <v>9</v>
      </c>
    </row>
    <row r="15" spans="2:13" x14ac:dyDescent="0.25">
      <c r="B15" s="41" t="s">
        <v>161</v>
      </c>
      <c r="C15" s="128">
        <f>DATE(YEAR(Date_forum),MONTH(Date_forum),"01")</f>
        <v>45901</v>
      </c>
    </row>
    <row r="17" spans="1:26" x14ac:dyDescent="0.25">
      <c r="B17" s="8" t="s">
        <v>162</v>
      </c>
      <c r="H17" s="157"/>
    </row>
    <row r="18" spans="1:26" x14ac:dyDescent="0.25">
      <c r="C18" s="31" t="s">
        <v>135</v>
      </c>
      <c r="H18" s="157"/>
    </row>
    <row r="19" spans="1:26" x14ac:dyDescent="0.25">
      <c r="B19" s="169" t="s">
        <v>163</v>
      </c>
      <c r="C19" s="150">
        <v>50</v>
      </c>
    </row>
    <row r="20" spans="1:26" x14ac:dyDescent="0.25">
      <c r="B20" s="170" t="s">
        <v>164</v>
      </c>
      <c r="C20" s="151">
        <v>120</v>
      </c>
      <c r="H20" s="157"/>
    </row>
    <row r="21" spans="1:26" x14ac:dyDescent="0.25">
      <c r="B21" s="170" t="s">
        <v>16</v>
      </c>
      <c r="C21" s="151">
        <v>110</v>
      </c>
    </row>
    <row r="22" spans="1:26" x14ac:dyDescent="0.25">
      <c r="B22" s="170" t="s">
        <v>165</v>
      </c>
      <c r="C22" s="171">
        <v>0.3</v>
      </c>
      <c r="E22" t="s">
        <v>166</v>
      </c>
      <c r="H22" s="115">
        <f>MROUND(Cotisation_adlute*Quotepart_Statutaire,Arrondi_Cotisation)</f>
        <v>35</v>
      </c>
    </row>
    <row r="23" spans="1:26" x14ac:dyDescent="0.25">
      <c r="B23" s="170" t="s">
        <v>167</v>
      </c>
      <c r="C23" s="171">
        <v>0.7</v>
      </c>
      <c r="E23" t="s">
        <v>166</v>
      </c>
      <c r="H23" s="115">
        <f>MROUND(Cotisation_adlute*Quotepart_Sportive,Arrondi_Cotisation)</f>
        <v>85</v>
      </c>
    </row>
    <row r="24" spans="1:26" x14ac:dyDescent="0.25">
      <c r="B24" s="170" t="s">
        <v>168</v>
      </c>
      <c r="C24" s="171">
        <v>0.9</v>
      </c>
      <c r="E24" t="s">
        <v>166</v>
      </c>
      <c r="H24" s="115">
        <f>MROUND(Cotisation_adlute*Cotisation_jeune,Arrondi_Cotisation)</f>
        <v>110</v>
      </c>
    </row>
    <row r="25" spans="1:26" x14ac:dyDescent="0.25">
      <c r="B25" s="172" t="s">
        <v>169</v>
      </c>
      <c r="C25" s="173">
        <v>5</v>
      </c>
      <c r="E25" t="s">
        <v>170</v>
      </c>
    </row>
    <row r="27" spans="1:26" x14ac:dyDescent="0.25">
      <c r="B27" s="118"/>
      <c r="C27" s="118"/>
    </row>
    <row r="29" spans="1:26" x14ac:dyDescent="0.25">
      <c r="B29" s="8" t="s">
        <v>41</v>
      </c>
      <c r="N29" t="s">
        <v>171</v>
      </c>
    </row>
    <row r="30" spans="1:26" ht="17.25" x14ac:dyDescent="0.25">
      <c r="B30" t="s">
        <v>46</v>
      </c>
      <c r="C30" s="28" t="s">
        <v>172</v>
      </c>
      <c r="D30" s="28" t="s">
        <v>173</v>
      </c>
      <c r="E30" s="29" t="s">
        <v>174</v>
      </c>
      <c r="F30" s="29">
        <v>92</v>
      </c>
      <c r="G30" s="29" t="s">
        <v>175</v>
      </c>
      <c r="H30" s="29" t="s">
        <v>176</v>
      </c>
      <c r="I30" s="30" t="s">
        <v>21</v>
      </c>
      <c r="J30" s="106" t="s">
        <v>177</v>
      </c>
      <c r="K30" s="106" t="s">
        <v>178</v>
      </c>
      <c r="L30" s="8" t="s">
        <v>179</v>
      </c>
      <c r="N30" t="str">
        <f t="array" ref="N30:Z40">TRANSPOSE(B30:L42)</f>
        <v>Sélectionnez…</v>
      </c>
      <c r="O30" t="str">
        <v>Poussin</v>
      </c>
      <c r="P30" t="str">
        <v>Jeune</v>
      </c>
      <c r="Q30" t="str">
        <v>Compétition</v>
      </c>
      <c r="R30" t="str">
        <v>Club</v>
      </c>
      <c r="S30" t="str">
        <v>Pas de pratique</v>
      </c>
      <c r="T30" t="str">
        <v>Statutaire</v>
      </c>
      <c r="U30" t="str">
        <v>Découverte</v>
      </c>
      <c r="V30" t="str">
        <v>Double compagnie</v>
      </c>
      <c r="W30" t="str">
        <v>UNSS - FFSU</v>
      </c>
      <c r="X30" t="str">
        <v>FFSU</v>
      </c>
      <c r="Y30" t="str">
        <v>FFH (Handisport)</v>
      </c>
      <c r="Z30" t="str">
        <v>FFSA</v>
      </c>
    </row>
    <row r="31" spans="1:26" x14ac:dyDescent="0.25">
      <c r="A31" s="185" t="s">
        <v>180</v>
      </c>
      <c r="B31" s="130" t="s">
        <v>9</v>
      </c>
      <c r="C31" s="220">
        <v>17</v>
      </c>
      <c r="D31" s="200">
        <f>Evènements_internationaux</f>
        <v>2</v>
      </c>
      <c r="E31" s="131">
        <v>7</v>
      </c>
      <c r="F31" s="131">
        <v>5</v>
      </c>
      <c r="G31" s="200">
        <f>MROUND(MROUND(Cotisation_adlute*Cotisation_jeune,Arrondi_Cotisation)*Quotepart_Statutaire,Arrondi_Cotisation)</f>
        <v>35</v>
      </c>
      <c r="H31" s="200">
        <f>MROUND(MROUND(Cotisation_adlute*Cotisation_jeune,Arrondi_Cotisation)*Quotepart_Sportive,Arrondi_Cotisation)</f>
        <v>75</v>
      </c>
      <c r="I31" s="27">
        <f>SUM(C31:H31)</f>
        <v>141</v>
      </c>
      <c r="J31" s="55">
        <f>I31</f>
        <v>141</v>
      </c>
      <c r="K31" s="55">
        <f t="shared" ref="K31:K42" si="4">I31+$C$19</f>
        <v>191</v>
      </c>
      <c r="L31" s="55">
        <f>SUM(C31:F31)</f>
        <v>31</v>
      </c>
      <c r="N31" t="str">
        <v>FFTA (*)</v>
      </c>
      <c r="O31">
        <v>17</v>
      </c>
      <c r="P31">
        <v>26</v>
      </c>
      <c r="Q31">
        <v>44</v>
      </c>
      <c r="R31">
        <v>36</v>
      </c>
      <c r="S31">
        <v>27</v>
      </c>
      <c r="T31">
        <v>0</v>
      </c>
      <c r="U31">
        <v>15</v>
      </c>
      <c r="V31">
        <v>0</v>
      </c>
      <c r="W31">
        <v>14</v>
      </c>
      <c r="X31">
        <v>14</v>
      </c>
      <c r="Y31">
        <v>14</v>
      </c>
      <c r="Z31">
        <v>14</v>
      </c>
    </row>
    <row r="32" spans="1:26" x14ac:dyDescent="0.25">
      <c r="A32" s="185" t="s">
        <v>181</v>
      </c>
      <c r="B32" s="123" t="s">
        <v>182</v>
      </c>
      <c r="C32" s="221">
        <v>26</v>
      </c>
      <c r="D32" s="27">
        <f>Evènements_internationaux</f>
        <v>2</v>
      </c>
      <c r="E32" s="132">
        <v>16</v>
      </c>
      <c r="F32" s="132">
        <v>10</v>
      </c>
      <c r="G32" s="27">
        <f>MROUND(MROUND(Cotisation_adlute*Cotisation_jeune,Arrondi_Cotisation)*Quotepart_Statutaire,Arrondi_Cotisation)</f>
        <v>35</v>
      </c>
      <c r="H32" s="27">
        <f>MROUND(MROUND(Cotisation_adlute*Cotisation_jeune,Arrondi_Cotisation)*Quotepart_Sportive,Arrondi_Cotisation)</f>
        <v>75</v>
      </c>
      <c r="I32" s="27">
        <f>SUM(C32:H32)</f>
        <v>164</v>
      </c>
      <c r="J32" s="55">
        <f t="shared" ref="J32:J42" si="5">I32</f>
        <v>164</v>
      </c>
      <c r="K32" s="55">
        <f t="shared" si="4"/>
        <v>214</v>
      </c>
      <c r="L32" s="55">
        <f>SUM(C32:F32)</f>
        <v>54</v>
      </c>
      <c r="N32" t="str">
        <v>Evenements</v>
      </c>
      <c r="O32">
        <v>2</v>
      </c>
      <c r="P32">
        <v>2</v>
      </c>
      <c r="Q32">
        <v>2</v>
      </c>
      <c r="R32">
        <v>2</v>
      </c>
      <c r="S32">
        <v>2</v>
      </c>
      <c r="T32">
        <v>0</v>
      </c>
      <c r="U32">
        <v>2</v>
      </c>
      <c r="V32">
        <v>0</v>
      </c>
      <c r="W32">
        <v>2</v>
      </c>
      <c r="X32">
        <v>2</v>
      </c>
      <c r="Y32">
        <v>2</v>
      </c>
      <c r="Z32">
        <v>2</v>
      </c>
    </row>
    <row r="33" spans="1:26" x14ac:dyDescent="0.25">
      <c r="A33" s="185" t="s">
        <v>183</v>
      </c>
      <c r="B33" s="123" t="s">
        <v>184</v>
      </c>
      <c r="C33" s="221">
        <v>44</v>
      </c>
      <c r="D33" s="27">
        <f>Evènements_internationaux</f>
        <v>2</v>
      </c>
      <c r="E33" s="132">
        <v>20</v>
      </c>
      <c r="F33" s="132">
        <v>13.5</v>
      </c>
      <c r="G33" s="27">
        <f>MROUND(MROUND(Cotisation_adlute,Arrondi_Cotisation)*Quotepart_Statutaire,Arrondi_Cotisation)</f>
        <v>35</v>
      </c>
      <c r="H33" s="27">
        <f>MROUND(MROUND(Cotisation_adlute,Arrondi_Cotisation)*Quotepart_Sportive,Arrondi_Cotisation)</f>
        <v>85</v>
      </c>
      <c r="I33" s="27">
        <f>SUM(C33:H33)</f>
        <v>199.5</v>
      </c>
      <c r="J33" s="55">
        <f t="shared" si="5"/>
        <v>199.5</v>
      </c>
      <c r="K33" s="55">
        <f t="shared" si="4"/>
        <v>249.5</v>
      </c>
      <c r="L33" s="55">
        <f>SUM(C33:F33)</f>
        <v>79.5</v>
      </c>
      <c r="N33" t="str">
        <v>IDF</v>
      </c>
      <c r="O33">
        <v>7</v>
      </c>
      <c r="P33">
        <v>16</v>
      </c>
      <c r="Q33">
        <v>20</v>
      </c>
      <c r="R33">
        <v>16</v>
      </c>
      <c r="S33">
        <v>5</v>
      </c>
      <c r="T33">
        <v>0</v>
      </c>
      <c r="U33">
        <v>3</v>
      </c>
      <c r="V33">
        <v>0</v>
      </c>
      <c r="W33">
        <v>2</v>
      </c>
      <c r="X33">
        <v>2</v>
      </c>
      <c r="Y33">
        <v>2</v>
      </c>
      <c r="Z33">
        <v>2</v>
      </c>
    </row>
    <row r="34" spans="1:26" x14ac:dyDescent="0.25">
      <c r="A34" s="185" t="s">
        <v>185</v>
      </c>
      <c r="B34" s="123" t="s">
        <v>186</v>
      </c>
      <c r="C34" s="221">
        <v>36</v>
      </c>
      <c r="D34" s="27">
        <f>Evènements_internationaux</f>
        <v>2</v>
      </c>
      <c r="E34" s="132">
        <v>16</v>
      </c>
      <c r="F34" s="132">
        <v>13</v>
      </c>
      <c r="G34" s="27">
        <f>MROUND(MROUND(Cotisation_adlute,Arrondi_Cotisation)*Quotepart_Statutaire,Arrondi_Cotisation)</f>
        <v>35</v>
      </c>
      <c r="H34" s="27">
        <f>MROUND(MROUND(Cotisation_adlute,Arrondi_Cotisation)*Quotepart_Sportive,Arrondi_Cotisation)</f>
        <v>85</v>
      </c>
      <c r="I34" s="27">
        <f t="shared" ref="I34:I42" si="6">SUM(C34:H34)</f>
        <v>187</v>
      </c>
      <c r="J34" s="55">
        <f t="shared" si="5"/>
        <v>187</v>
      </c>
      <c r="K34" s="55">
        <f t="shared" si="4"/>
        <v>237</v>
      </c>
      <c r="L34" s="55">
        <f t="shared" ref="L34:L42" si="7">SUM(C34:F34)</f>
        <v>67</v>
      </c>
      <c r="N34">
        <v>92</v>
      </c>
      <c r="O34">
        <v>5</v>
      </c>
      <c r="P34">
        <v>10</v>
      </c>
      <c r="Q34">
        <v>13.5</v>
      </c>
      <c r="R34">
        <v>13</v>
      </c>
      <c r="S34">
        <v>5</v>
      </c>
      <c r="T34">
        <v>0</v>
      </c>
      <c r="U34">
        <v>2</v>
      </c>
      <c r="V34">
        <v>0</v>
      </c>
      <c r="W34">
        <v>2</v>
      </c>
      <c r="X34">
        <v>2</v>
      </c>
      <c r="Y34">
        <v>2</v>
      </c>
      <c r="Z34">
        <v>2</v>
      </c>
    </row>
    <row r="35" spans="1:26" x14ac:dyDescent="0.25">
      <c r="A35" s="185" t="s">
        <v>187</v>
      </c>
      <c r="B35" s="123" t="s">
        <v>188</v>
      </c>
      <c r="C35" s="222">
        <v>27</v>
      </c>
      <c r="D35" s="27">
        <f>Evènements_internationaux</f>
        <v>2</v>
      </c>
      <c r="E35" s="132">
        <v>5</v>
      </c>
      <c r="F35" s="132">
        <v>5</v>
      </c>
      <c r="G35" s="27">
        <f>MROUND(MROUND(Cotisation_adlute,Arrondi_Cotisation)*Quotepart_Statutaire,Arrondi_Cotisation)</f>
        <v>35</v>
      </c>
      <c r="H35" s="27"/>
      <c r="I35" s="27">
        <f t="shared" si="6"/>
        <v>74</v>
      </c>
      <c r="J35" s="55">
        <f t="shared" si="5"/>
        <v>74</v>
      </c>
      <c r="K35" s="55">
        <f t="shared" si="4"/>
        <v>124</v>
      </c>
      <c r="L35" s="55">
        <f t="shared" si="7"/>
        <v>39</v>
      </c>
      <c r="N35" t="str">
        <v>Statutaire</v>
      </c>
      <c r="O35">
        <v>35</v>
      </c>
      <c r="P35">
        <v>35</v>
      </c>
      <c r="Q35">
        <v>35</v>
      </c>
      <c r="R35">
        <v>35</v>
      </c>
      <c r="S35">
        <v>35</v>
      </c>
      <c r="T35">
        <v>35</v>
      </c>
      <c r="U35">
        <v>0</v>
      </c>
      <c r="V35">
        <v>0</v>
      </c>
      <c r="W35">
        <v>35</v>
      </c>
      <c r="X35">
        <v>35</v>
      </c>
      <c r="Y35">
        <v>35</v>
      </c>
      <c r="Z35">
        <v>35</v>
      </c>
    </row>
    <row r="36" spans="1:26" x14ac:dyDescent="0.25">
      <c r="A36" s="185"/>
      <c r="B36" s="123" t="s">
        <v>175</v>
      </c>
      <c r="C36" s="132"/>
      <c r="D36" s="27"/>
      <c r="E36" s="132"/>
      <c r="F36" s="132"/>
      <c r="G36" s="27">
        <f>MROUND(MROUND(Cotisation_adlute,Arrondi_Cotisation)*Quotepart_Statutaire,Arrondi_Cotisation)</f>
        <v>35</v>
      </c>
      <c r="H36" s="27"/>
      <c r="I36" s="27">
        <f>SUM(C36:H36)</f>
        <v>35</v>
      </c>
      <c r="J36" s="55">
        <f t="shared" si="5"/>
        <v>35</v>
      </c>
      <c r="K36" s="55">
        <f>I36+$C$19</f>
        <v>85</v>
      </c>
      <c r="L36" s="55">
        <f>SUM(C36:F36)</f>
        <v>0</v>
      </c>
      <c r="N36" t="str">
        <v>Sportive</v>
      </c>
      <c r="O36">
        <v>75</v>
      </c>
      <c r="P36">
        <v>75</v>
      </c>
      <c r="Q36">
        <v>85</v>
      </c>
      <c r="R36">
        <v>85</v>
      </c>
      <c r="S36">
        <v>0</v>
      </c>
      <c r="T36">
        <v>0</v>
      </c>
      <c r="U36">
        <v>50</v>
      </c>
      <c r="V36">
        <v>110</v>
      </c>
      <c r="W36">
        <v>85</v>
      </c>
      <c r="X36">
        <v>85</v>
      </c>
      <c r="Y36">
        <v>85</v>
      </c>
      <c r="Z36">
        <v>85</v>
      </c>
    </row>
    <row r="37" spans="1:26" x14ac:dyDescent="0.25">
      <c r="A37" s="185" t="s">
        <v>189</v>
      </c>
      <c r="B37" s="123" t="s">
        <v>15</v>
      </c>
      <c r="C37" s="133">
        <v>15</v>
      </c>
      <c r="D37" s="201">
        <f>Evènements_internationaux</f>
        <v>2</v>
      </c>
      <c r="E37" s="133">
        <v>3</v>
      </c>
      <c r="F37" s="133">
        <v>2</v>
      </c>
      <c r="G37" s="201"/>
      <c r="H37" s="27">
        <v>50</v>
      </c>
      <c r="I37" s="27">
        <f t="shared" si="6"/>
        <v>72</v>
      </c>
      <c r="J37" s="55">
        <f t="shared" si="5"/>
        <v>72</v>
      </c>
      <c r="K37" s="55">
        <f t="shared" si="4"/>
        <v>122</v>
      </c>
      <c r="L37" s="55">
        <f t="shared" si="7"/>
        <v>22</v>
      </c>
      <c r="N37" t="str">
        <v>Total</v>
      </c>
      <c r="O37">
        <v>141</v>
      </c>
      <c r="P37">
        <v>164</v>
      </c>
      <c r="Q37">
        <v>199.5</v>
      </c>
      <c r="R37">
        <v>187</v>
      </c>
      <c r="S37">
        <v>74</v>
      </c>
      <c r="T37">
        <v>35</v>
      </c>
      <c r="U37">
        <v>72</v>
      </c>
      <c r="V37">
        <v>110</v>
      </c>
      <c r="W37">
        <v>140</v>
      </c>
      <c r="X37">
        <v>140</v>
      </c>
      <c r="Y37">
        <v>140</v>
      </c>
      <c r="Z37">
        <v>140</v>
      </c>
    </row>
    <row r="38" spans="1:26" x14ac:dyDescent="0.25">
      <c r="A38" s="185"/>
      <c r="B38" s="123" t="s">
        <v>16</v>
      </c>
      <c r="C38" s="133"/>
      <c r="D38" s="201"/>
      <c r="E38" s="133"/>
      <c r="F38" s="133"/>
      <c r="G38" s="201"/>
      <c r="H38" s="201">
        <f>Cotisation_Double_Compagnie</f>
        <v>110</v>
      </c>
      <c r="I38" s="27">
        <f t="shared" si="6"/>
        <v>110</v>
      </c>
      <c r="J38" s="55">
        <f t="shared" si="5"/>
        <v>110</v>
      </c>
      <c r="K38" s="55"/>
      <c r="L38" s="55"/>
      <c r="N38" t="str">
        <v xml:space="preserve">Renouvellant </v>
      </c>
      <c r="O38">
        <v>141</v>
      </c>
      <c r="P38">
        <v>164</v>
      </c>
      <c r="Q38">
        <v>199.5</v>
      </c>
      <c r="R38">
        <v>187</v>
      </c>
      <c r="S38">
        <v>74</v>
      </c>
      <c r="T38">
        <v>35</v>
      </c>
      <c r="U38">
        <v>72</v>
      </c>
      <c r="V38">
        <v>110</v>
      </c>
      <c r="W38">
        <v>140</v>
      </c>
      <c r="X38">
        <v>140</v>
      </c>
      <c r="Y38">
        <v>140</v>
      </c>
      <c r="Z38">
        <v>140</v>
      </c>
    </row>
    <row r="39" spans="1:26" x14ac:dyDescent="0.25">
      <c r="A39" s="185" t="s">
        <v>190</v>
      </c>
      <c r="B39" s="123" t="s">
        <v>191</v>
      </c>
      <c r="C39" s="133">
        <v>14</v>
      </c>
      <c r="D39" s="201">
        <f>Evènements_internationaux</f>
        <v>2</v>
      </c>
      <c r="E39" s="133">
        <v>2</v>
      </c>
      <c r="F39" s="133">
        <v>2</v>
      </c>
      <c r="G39" s="201">
        <f>MROUND(MROUND(Cotisation_adlute,Arrondi_Cotisation)*Quotepart_Statutaire,Arrondi_Cotisation)</f>
        <v>35</v>
      </c>
      <c r="H39" s="201">
        <f>MROUND(MROUND(Cotisation_adlute,Arrondi_Cotisation)*Quotepart_Sportive,Arrondi_Cotisation)</f>
        <v>85</v>
      </c>
      <c r="I39" s="27">
        <f t="shared" si="6"/>
        <v>140</v>
      </c>
      <c r="J39" s="55">
        <f t="shared" si="5"/>
        <v>140</v>
      </c>
      <c r="K39" s="55">
        <f t="shared" si="4"/>
        <v>190</v>
      </c>
      <c r="L39" s="55">
        <f t="shared" si="7"/>
        <v>20</v>
      </c>
      <c r="N39" t="str">
        <v>Nouveaux</v>
      </c>
      <c r="O39">
        <v>191</v>
      </c>
      <c r="P39">
        <v>214</v>
      </c>
      <c r="Q39">
        <v>249.5</v>
      </c>
      <c r="R39">
        <v>237</v>
      </c>
      <c r="S39">
        <v>124</v>
      </c>
      <c r="T39">
        <v>85</v>
      </c>
      <c r="U39">
        <v>122</v>
      </c>
      <c r="V39">
        <v>0</v>
      </c>
      <c r="W39">
        <v>190</v>
      </c>
      <c r="X39">
        <v>190</v>
      </c>
      <c r="Y39">
        <v>190</v>
      </c>
      <c r="Z39">
        <v>190</v>
      </c>
    </row>
    <row r="40" spans="1:26" x14ac:dyDescent="0.25">
      <c r="A40" s="185" t="s">
        <v>190</v>
      </c>
      <c r="B40" s="123" t="s">
        <v>192</v>
      </c>
      <c r="C40" s="133">
        <v>14</v>
      </c>
      <c r="D40" s="201">
        <f>Evènements_internationaux</f>
        <v>2</v>
      </c>
      <c r="E40" s="133">
        <v>2</v>
      </c>
      <c r="F40" s="133">
        <v>2</v>
      </c>
      <c r="G40" s="201">
        <f>MROUND(MROUND(Cotisation_adlute,Arrondi_Cotisation)*Quotepart_Statutaire,Arrondi_Cotisation)</f>
        <v>35</v>
      </c>
      <c r="H40" s="201">
        <f>MROUND(MROUND(Cotisation_adlute,Arrondi_Cotisation)*Quotepart_Sportive,Arrondi_Cotisation)</f>
        <v>85</v>
      </c>
      <c r="I40" s="27">
        <f t="shared" si="6"/>
        <v>140</v>
      </c>
      <c r="J40" s="55">
        <f t="shared" si="5"/>
        <v>140</v>
      </c>
      <c r="K40" s="55">
        <f t="shared" si="4"/>
        <v>190</v>
      </c>
      <c r="L40" s="55">
        <f t="shared" si="7"/>
        <v>20</v>
      </c>
      <c r="N40" t="str">
        <v>parts fédérales</v>
      </c>
      <c r="O40">
        <v>31</v>
      </c>
      <c r="P40">
        <v>54</v>
      </c>
      <c r="Q40">
        <v>79.5</v>
      </c>
      <c r="R40">
        <v>67</v>
      </c>
      <c r="S40">
        <v>39</v>
      </c>
      <c r="T40">
        <v>0</v>
      </c>
      <c r="U40">
        <v>22</v>
      </c>
      <c r="V40">
        <v>0</v>
      </c>
      <c r="W40">
        <v>20</v>
      </c>
      <c r="X40">
        <v>20</v>
      </c>
      <c r="Y40">
        <v>20</v>
      </c>
      <c r="Z40">
        <v>20</v>
      </c>
    </row>
    <row r="41" spans="1:26" x14ac:dyDescent="0.25">
      <c r="A41" s="185" t="s">
        <v>193</v>
      </c>
      <c r="B41" s="123" t="s">
        <v>194</v>
      </c>
      <c r="C41" s="132">
        <v>14</v>
      </c>
      <c r="D41" s="27">
        <f>Evènements_internationaux</f>
        <v>2</v>
      </c>
      <c r="E41" s="132">
        <v>2</v>
      </c>
      <c r="F41" s="132">
        <v>2</v>
      </c>
      <c r="G41" s="27">
        <f>MROUND(MROUND(Cotisation_adlute,Arrondi_Cotisation)*Quotepart_Statutaire,Arrondi_Cotisation)</f>
        <v>35</v>
      </c>
      <c r="H41" s="27">
        <f>MROUND(MROUND(Cotisation_adlute,Arrondi_Cotisation)*Quotepart_Sportive,Arrondi_Cotisation)</f>
        <v>85</v>
      </c>
      <c r="I41" s="27">
        <f t="shared" si="6"/>
        <v>140</v>
      </c>
      <c r="J41" s="55">
        <f t="shared" si="5"/>
        <v>140</v>
      </c>
      <c r="K41" s="55">
        <f t="shared" si="4"/>
        <v>190</v>
      </c>
      <c r="L41" s="55">
        <f t="shared" si="7"/>
        <v>20</v>
      </c>
    </row>
    <row r="42" spans="1:26" x14ac:dyDescent="0.25">
      <c r="A42" s="185" t="s">
        <v>193</v>
      </c>
      <c r="B42" s="124" t="s">
        <v>195</v>
      </c>
      <c r="C42" s="134">
        <v>14</v>
      </c>
      <c r="D42" s="202">
        <f>Evènements_internationaux</f>
        <v>2</v>
      </c>
      <c r="E42" s="134">
        <v>2</v>
      </c>
      <c r="F42" s="134">
        <v>2</v>
      </c>
      <c r="G42" s="203">
        <f>MROUND(MROUND(Cotisation_adlute,Arrondi_Cotisation)*Quotepart_Statutaire,Arrondi_Cotisation)</f>
        <v>35</v>
      </c>
      <c r="H42" s="203">
        <f>MROUND(MROUND(Cotisation_adlute,Arrondi_Cotisation)*Quotepart_Sportive,Arrondi_Cotisation)</f>
        <v>85</v>
      </c>
      <c r="I42" s="27">
        <f t="shared" si="6"/>
        <v>140</v>
      </c>
      <c r="J42" s="55">
        <f t="shared" si="5"/>
        <v>140</v>
      </c>
      <c r="K42" s="55">
        <f t="shared" si="4"/>
        <v>190</v>
      </c>
      <c r="L42" s="55">
        <f t="shared" si="7"/>
        <v>20</v>
      </c>
    </row>
    <row r="43" spans="1:26" x14ac:dyDescent="0.25">
      <c r="B43" s="118" t="str">
        <f>"(*) Le tarif intègre l'assurance  : "&amp;C45&amp;"€"</f>
        <v>(*) Le tarif intègre l'assurance  : 0,28€</v>
      </c>
    </row>
    <row r="45" spans="1:26" ht="15" customHeight="1" x14ac:dyDescent="0.25">
      <c r="B45" s="198" t="s">
        <v>196</v>
      </c>
      <c r="C45" s="199">
        <v>0.28000000000000003</v>
      </c>
    </row>
    <row r="46" spans="1:26" ht="15" customHeight="1" x14ac:dyDescent="0.25">
      <c r="B46" s="198" t="s">
        <v>197</v>
      </c>
      <c r="C46" s="199">
        <v>2</v>
      </c>
    </row>
    <row r="48" spans="1:26" ht="15" customHeight="1" x14ac:dyDescent="0.25">
      <c r="B48" s="8" t="s">
        <v>198</v>
      </c>
    </row>
    <row r="50" spans="2:8" ht="15" customHeight="1" x14ac:dyDescent="0.25">
      <c r="B50" s="39" t="s">
        <v>136</v>
      </c>
      <c r="C50" s="29" t="s">
        <v>137</v>
      </c>
      <c r="D50" s="29" t="s">
        <v>40</v>
      </c>
      <c r="E50" s="29" t="s">
        <v>41</v>
      </c>
      <c r="F50" s="29" t="s">
        <v>139</v>
      </c>
      <c r="G50" s="40" t="s">
        <v>140</v>
      </c>
      <c r="H50" s="30" t="s">
        <v>141</v>
      </c>
    </row>
    <row r="51" spans="2:8" ht="15" customHeight="1" x14ac:dyDescent="0.25">
      <c r="B51" s="144">
        <v>45</v>
      </c>
      <c r="C51" s="135">
        <f>DATE(YEAR(C52)-B51,10,1)</f>
        <v>9041</v>
      </c>
      <c r="D51" s="147" t="s">
        <v>199</v>
      </c>
      <c r="E51" s="147" t="s">
        <v>200</v>
      </c>
      <c r="F51" s="137">
        <f>ROUNDDOWN(DAYS360(C52,DATE(YEAR($C$55),1,1))/360,0)+1</f>
        <v>56</v>
      </c>
      <c r="G51" s="136">
        <f>ROUNDDOWN(DAYS360(C51,DATE(YEAR($C$55),1,1))/360,0)</f>
        <v>100</v>
      </c>
      <c r="H51" s="150">
        <v>36</v>
      </c>
    </row>
    <row r="52" spans="2:8" ht="15" customHeight="1" x14ac:dyDescent="0.25">
      <c r="B52" s="145">
        <v>39</v>
      </c>
      <c r="C52" s="138">
        <f>DATE(YEAR(C53)-B52,10,1)</f>
        <v>25477</v>
      </c>
      <c r="D52" s="148" t="s">
        <v>200</v>
      </c>
      <c r="E52" s="148" t="s">
        <v>200</v>
      </c>
      <c r="F52" s="140">
        <f>ROUNDDOWN(DAYS360(C53,DATE(YEAR($C$55),1,1))/360,0)+1</f>
        <v>17</v>
      </c>
      <c r="G52" s="139">
        <f>ROUNDDOWN(DAYS360(C52,DATE(YEAR($C$55),1,1))/360,0)</f>
        <v>55</v>
      </c>
      <c r="H52" s="151">
        <v>36</v>
      </c>
    </row>
    <row r="53" spans="2:8" ht="15" customHeight="1" x14ac:dyDescent="0.25">
      <c r="B53" s="145">
        <v>4</v>
      </c>
      <c r="C53" s="138">
        <f>DATE(YEAR(C54)-B53,10,1)</f>
        <v>39722</v>
      </c>
      <c r="D53" s="148" t="s">
        <v>152</v>
      </c>
      <c r="E53" s="148" t="s">
        <v>182</v>
      </c>
      <c r="F53" s="140">
        <f>ROUNDDOWN(DAYS360(C54,DATE(YEAR($C$55),1,1))/360,0)+1</f>
        <v>13</v>
      </c>
      <c r="G53" s="139">
        <f>ROUNDDOWN(DAYS360(C53,DATE(YEAR($C$55),1,1))/360,0)</f>
        <v>16</v>
      </c>
      <c r="H53" s="151">
        <v>20</v>
      </c>
    </row>
    <row r="54" spans="2:8" ht="15" customHeight="1" x14ac:dyDescent="0.25">
      <c r="B54" s="146">
        <v>13</v>
      </c>
      <c r="C54" s="141">
        <f>DATE(YEAR(C55)-B54,10,1)</f>
        <v>41183</v>
      </c>
      <c r="D54" s="149" t="s">
        <v>201</v>
      </c>
      <c r="E54" s="149" t="s">
        <v>182</v>
      </c>
      <c r="F54" s="143">
        <f>ROUNDDOWN(DAYS360(C55,DATE(YEAR($C$55),1,1))/360,0)+1</f>
        <v>1</v>
      </c>
      <c r="G54" s="142">
        <f>ROUNDDOWN(DAYS360(C54,DATE(YEAR($C$55),1,1))/360,0)</f>
        <v>12</v>
      </c>
      <c r="H54" s="152">
        <v>20</v>
      </c>
    </row>
    <row r="55" spans="2:8" ht="15" customHeight="1" x14ac:dyDescent="0.25">
      <c r="B55" s="41" t="s">
        <v>161</v>
      </c>
      <c r="C55" s="42">
        <f>C15+30</f>
        <v>45931</v>
      </c>
    </row>
    <row r="57" spans="2:8" x14ac:dyDescent="0.25">
      <c r="B57" s="8" t="s">
        <v>202</v>
      </c>
    </row>
    <row r="58" spans="2:8" x14ac:dyDescent="0.25">
      <c r="C58" s="31" t="s">
        <v>135</v>
      </c>
    </row>
    <row r="59" spans="2:8" x14ac:dyDescent="0.25">
      <c r="B59" s="12" t="s">
        <v>203</v>
      </c>
      <c r="C59" s="154">
        <v>0</v>
      </c>
    </row>
    <row r="60" spans="2:8" x14ac:dyDescent="0.25">
      <c r="B60" s="16" t="s">
        <v>204</v>
      </c>
      <c r="C60" s="153">
        <v>22</v>
      </c>
    </row>
    <row r="61" spans="2:8" x14ac:dyDescent="0.25">
      <c r="B61" s="17" t="s">
        <v>205</v>
      </c>
      <c r="C61" s="155">
        <v>40</v>
      </c>
    </row>
    <row r="63" spans="2:8" x14ac:dyDescent="0.25">
      <c r="B63" s="8" t="s">
        <v>206</v>
      </c>
    </row>
    <row r="64" spans="2:8" x14ac:dyDescent="0.25">
      <c r="C64" s="31" t="s">
        <v>135</v>
      </c>
    </row>
    <row r="65" spans="2:5" ht="15" customHeight="1" x14ac:dyDescent="0.25">
      <c r="B65" s="12" t="s">
        <v>203</v>
      </c>
      <c r="C65" s="154">
        <v>0</v>
      </c>
    </row>
    <row r="66" spans="2:5" x14ac:dyDescent="0.25">
      <c r="B66" s="16" t="s">
        <v>207</v>
      </c>
      <c r="C66" s="153">
        <v>15</v>
      </c>
    </row>
    <row r="67" spans="2:5" x14ac:dyDescent="0.25">
      <c r="B67" s="17" t="s">
        <v>208</v>
      </c>
      <c r="C67" s="155">
        <v>20</v>
      </c>
    </row>
    <row r="69" spans="2:5" x14ac:dyDescent="0.25">
      <c r="B69" s="8" t="s">
        <v>209</v>
      </c>
    </row>
    <row r="70" spans="2:5" x14ac:dyDescent="0.25">
      <c r="C70" s="31" t="s">
        <v>135</v>
      </c>
    </row>
    <row r="71" spans="2:5" ht="15" customHeight="1" x14ac:dyDescent="0.25">
      <c r="B71" s="12" t="s">
        <v>46</v>
      </c>
      <c r="C71" s="154"/>
    </row>
    <row r="72" spans="2:5" ht="15" customHeight="1" x14ac:dyDescent="0.25">
      <c r="B72" s="12" t="s">
        <v>210</v>
      </c>
      <c r="C72" s="154">
        <f>$H$23</f>
        <v>85</v>
      </c>
    </row>
    <row r="73" spans="2:5" ht="15" customHeight="1" x14ac:dyDescent="0.25">
      <c r="B73" s="12" t="s">
        <v>211</v>
      </c>
      <c r="C73" s="154">
        <f>$H$23</f>
        <v>85</v>
      </c>
      <c r="E73" t="s">
        <v>212</v>
      </c>
    </row>
    <row r="74" spans="2:5" x14ac:dyDescent="0.25">
      <c r="B74" s="16" t="s">
        <v>213</v>
      </c>
      <c r="C74" s="153">
        <f>$H$23</f>
        <v>85</v>
      </c>
      <c r="E74" t="s">
        <v>212</v>
      </c>
    </row>
    <row r="75" spans="2:5" x14ac:dyDescent="0.25">
      <c r="B75" s="17" t="s">
        <v>214</v>
      </c>
      <c r="C75" s="155">
        <f>ROUND($H$23*70%,0)</f>
        <v>60</v>
      </c>
      <c r="E75" t="s">
        <v>215</v>
      </c>
    </row>
    <row r="77" spans="2:5" ht="15" customHeight="1" x14ac:dyDescent="0.25">
      <c r="B77" s="8" t="s">
        <v>216</v>
      </c>
      <c r="C77">
        <v>200</v>
      </c>
    </row>
    <row r="78" spans="2:5" ht="15" customHeight="1" x14ac:dyDescent="0.25">
      <c r="C78" s="31" t="s">
        <v>135</v>
      </c>
    </row>
    <row r="79" spans="2:5" ht="15" customHeight="1" x14ac:dyDescent="0.25">
      <c r="B79" s="160" t="s">
        <v>217</v>
      </c>
      <c r="C79" s="159">
        <v>2.5000000000000001E-2</v>
      </c>
    </row>
    <row r="80" spans="2:5" ht="15" customHeight="1" x14ac:dyDescent="0.25">
      <c r="B80" s="16"/>
      <c r="C80" s="153"/>
    </row>
    <row r="82" spans="2:3" ht="15" customHeight="1" x14ac:dyDescent="0.25">
      <c r="B82" t="s">
        <v>218</v>
      </c>
      <c r="C82">
        <v>300</v>
      </c>
    </row>
    <row r="84" spans="2:3" ht="15" customHeight="1" x14ac:dyDescent="0.25">
      <c r="B84" s="8" t="s">
        <v>219</v>
      </c>
    </row>
    <row r="85" spans="2:3" ht="15" customHeight="1" x14ac:dyDescent="0.25">
      <c r="B85" s="174"/>
    </row>
    <row r="86" spans="2:3" ht="15" customHeight="1" x14ac:dyDescent="0.25">
      <c r="B86" s="174" t="s">
        <v>220</v>
      </c>
    </row>
    <row r="87" spans="2:3" ht="15" customHeight="1" x14ac:dyDescent="0.25">
      <c r="B87" s="174" t="s">
        <v>221</v>
      </c>
    </row>
    <row r="88" spans="2:3" ht="15" customHeight="1" x14ac:dyDescent="0.25">
      <c r="B88" s="174" t="s">
        <v>222</v>
      </c>
    </row>
    <row r="90" spans="2:3" ht="15" customHeight="1" x14ac:dyDescent="0.25">
      <c r="B90" s="176" t="s">
        <v>110</v>
      </c>
    </row>
    <row r="91" spans="2:3" ht="15" customHeight="1" x14ac:dyDescent="0.25">
      <c r="B91" s="174" t="s">
        <v>46</v>
      </c>
    </row>
    <row r="92" spans="2:3" ht="15" customHeight="1" x14ac:dyDescent="0.25">
      <c r="B92" s="174" t="s">
        <v>223</v>
      </c>
    </row>
    <row r="93" spans="2:3" ht="15" customHeight="1" x14ac:dyDescent="0.25">
      <c r="B93" s="174" t="s">
        <v>224</v>
      </c>
    </row>
    <row r="94" spans="2:3" ht="15" customHeight="1" x14ac:dyDescent="0.25">
      <c r="B94" s="174" t="s">
        <v>225</v>
      </c>
    </row>
    <row r="95" spans="2:3" ht="15" customHeight="1" x14ac:dyDescent="0.25">
      <c r="B95" s="174" t="s">
        <v>226</v>
      </c>
    </row>
    <row r="96" spans="2:3" ht="15" customHeight="1" x14ac:dyDescent="0.25">
      <c r="B96" s="174" t="s">
        <v>227</v>
      </c>
    </row>
    <row r="97" spans="2:2" ht="15" customHeight="1" x14ac:dyDescent="0.25">
      <c r="B97" s="174" t="s">
        <v>228</v>
      </c>
    </row>
    <row r="98" spans="2:2" ht="15" customHeight="1" x14ac:dyDescent="0.25">
      <c r="B98" s="174" t="s">
        <v>229</v>
      </c>
    </row>
    <row r="99" spans="2:2" ht="15" customHeight="1" x14ac:dyDescent="0.25">
      <c r="B99" s="174" t="s">
        <v>230</v>
      </c>
    </row>
    <row r="100" spans="2:2" ht="15" customHeight="1" x14ac:dyDescent="0.25">
      <c r="B100" s="174" t="s">
        <v>231</v>
      </c>
    </row>
    <row r="102" spans="2:2" ht="15" customHeight="1" x14ac:dyDescent="0.25">
      <c r="B102" s="176" t="s">
        <v>232</v>
      </c>
    </row>
    <row r="103" spans="2:2" ht="15" customHeight="1" x14ac:dyDescent="0.25">
      <c r="B103" s="174" t="s">
        <v>46</v>
      </c>
    </row>
    <row r="104" spans="2:2" ht="15" customHeight="1" x14ac:dyDescent="0.25">
      <c r="B104" s="174" t="s">
        <v>233</v>
      </c>
    </row>
    <row r="105" spans="2:2" ht="15" customHeight="1" x14ac:dyDescent="0.25">
      <c r="B105" s="174" t="s">
        <v>234</v>
      </c>
    </row>
    <row r="106" spans="2:2" ht="15" customHeight="1" x14ac:dyDescent="0.25">
      <c r="B106" s="174" t="s">
        <v>235</v>
      </c>
    </row>
    <row r="107" spans="2:2" ht="15" customHeight="1" x14ac:dyDescent="0.25">
      <c r="B107" s="174" t="s">
        <v>236</v>
      </c>
    </row>
    <row r="108" spans="2:2" ht="15" customHeight="1" x14ac:dyDescent="0.25">
      <c r="B108" s="174" t="s">
        <v>237</v>
      </c>
    </row>
    <row r="109" spans="2:2" ht="15" customHeight="1" x14ac:dyDescent="0.25">
      <c r="B109" s="174" t="s">
        <v>238</v>
      </c>
    </row>
    <row r="110" spans="2:2" ht="15" customHeight="1" x14ac:dyDescent="0.25">
      <c r="B110" s="174" t="s">
        <v>239</v>
      </c>
    </row>
    <row r="111" spans="2:2" ht="15" customHeight="1" x14ac:dyDescent="0.25">
      <c r="B111" s="174" t="s">
        <v>240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a94b76-acf4-4b2d-ac71-66e07bd6b9f6" xsi:nil="true"/>
    <lcf76f155ced4ddcb4097134ff3c332f xmlns="b4d91fdd-ba71-4dc8-a36d-d5416503209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11C7030127B7F43B975DB6E034274E5" ma:contentTypeVersion="18" ma:contentTypeDescription="Crée un document." ma:contentTypeScope="" ma:versionID="8aa718e05303cb0bdaea3a866368ba62">
  <xsd:schema xmlns:xsd="http://www.w3.org/2001/XMLSchema" xmlns:xs="http://www.w3.org/2001/XMLSchema" xmlns:p="http://schemas.microsoft.com/office/2006/metadata/properties" xmlns:ns2="b4d91fdd-ba71-4dc8-a36d-d5416503209c" xmlns:ns3="c1a94b76-acf4-4b2d-ac71-66e07bd6b9f6" targetNamespace="http://schemas.microsoft.com/office/2006/metadata/properties" ma:root="true" ma:fieldsID="539ca869da6f781f817ceca8f5a1cc78" ns2:_="" ns3:_="">
    <xsd:import namespace="b4d91fdd-ba71-4dc8-a36d-d5416503209c"/>
    <xsd:import namespace="c1a94b76-acf4-4b2d-ac71-66e07bd6b9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91fdd-ba71-4dc8-a36d-d541650320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e141ff55-024d-4f9d-ad48-2501a624bb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a94b76-acf4-4b2d-ac71-66e07bd6b9f6"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04dfa528-d2cc-46ea-8046-43ae5f6166a8}" ma:internalName="TaxCatchAll" ma:showField="CatchAllData" ma:web="c1a94b76-acf4-4b2d-ac71-66e07bd6b9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C22C2B-1D32-4BE9-8C6B-339B36AD8024}">
  <ds:schemaRefs>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elements/1.1/"/>
    <ds:schemaRef ds:uri="http://purl.org/dc/dcmitype/"/>
    <ds:schemaRef ds:uri="b4d91fdd-ba71-4dc8-a36d-d5416503209c"/>
    <ds:schemaRef ds:uri="http://schemas.openxmlformats.org/package/2006/metadata/core-properties"/>
    <ds:schemaRef ds:uri="c1a94b76-acf4-4b2d-ac71-66e07bd6b9f6"/>
    <ds:schemaRef ds:uri="http://www.w3.org/XML/1998/namespace"/>
  </ds:schemaRefs>
</ds:datastoreItem>
</file>

<file path=customXml/itemProps2.xml><?xml version="1.0" encoding="utf-8"?>
<ds:datastoreItem xmlns:ds="http://schemas.openxmlformats.org/officeDocument/2006/customXml" ds:itemID="{3806BB98-5835-4147-8463-08FD93039F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91fdd-ba71-4dc8-a36d-d5416503209c"/>
    <ds:schemaRef ds:uri="c1a94b76-acf4-4b2d-ac71-66e07bd6b9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5A0137-4E13-44FD-ABE7-AFB4F1CD59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39</vt:i4>
      </vt:variant>
    </vt:vector>
  </HeadingPairs>
  <TitlesOfParts>
    <vt:vector size="48" baseType="lpstr">
      <vt:lpstr>Modalités d'inscription</vt:lpstr>
      <vt:lpstr>Récapitulatif</vt:lpstr>
      <vt:lpstr>Membre 1</vt:lpstr>
      <vt:lpstr>Membre 2</vt:lpstr>
      <vt:lpstr>Membre 3</vt:lpstr>
      <vt:lpstr>Membre 4</vt:lpstr>
      <vt:lpstr>Membre 5</vt:lpstr>
      <vt:lpstr>Guide</vt:lpstr>
      <vt:lpstr>Param</vt:lpstr>
      <vt:lpstr>Abonnement</vt:lpstr>
      <vt:lpstr>ANCV_Borne</vt:lpstr>
      <vt:lpstr>ANCV_forfait</vt:lpstr>
      <vt:lpstr>ANCV_Poucentage</vt:lpstr>
      <vt:lpstr>Arrondi_Cotisation</vt:lpstr>
      <vt:lpstr>Assurance_Individuelle</vt:lpstr>
      <vt:lpstr>cat_dt</vt:lpstr>
      <vt:lpstr>categorie</vt:lpstr>
      <vt:lpstr>Catégorie</vt:lpstr>
      <vt:lpstr>Catégorie_FFTL</vt:lpstr>
      <vt:lpstr>Categories_arc</vt:lpstr>
      <vt:lpstr>Cotisation_adlute</vt:lpstr>
      <vt:lpstr>Cotisation_Double_Compagnie</vt:lpstr>
      <vt:lpstr>Cotisation_jeune</vt:lpstr>
      <vt:lpstr>Date_forum</vt:lpstr>
      <vt:lpstr>Découverte</vt:lpstr>
      <vt:lpstr>Double_compagnie</vt:lpstr>
      <vt:lpstr>Double_compagnie_Tarif</vt:lpstr>
      <vt:lpstr>Droit_entree</vt:lpstr>
      <vt:lpstr>Droit_entrée</vt:lpstr>
      <vt:lpstr>Entraîneur</vt:lpstr>
      <vt:lpstr>Entraîneur_label</vt:lpstr>
      <vt:lpstr>Evènements_internationaux</vt:lpstr>
      <vt:lpstr>Jour_entrainement</vt:lpstr>
      <vt:lpstr>Licence</vt:lpstr>
      <vt:lpstr>Niveau_Distinction</vt:lpstr>
      <vt:lpstr>Quotepart_Sportive</vt:lpstr>
      <vt:lpstr>Quotepart_Statutaire</vt:lpstr>
      <vt:lpstr>Tarif_double_compagnie</vt:lpstr>
      <vt:lpstr>Tarifs</vt:lpstr>
      <vt:lpstr>Tarifs_Licence</vt:lpstr>
      <vt:lpstr>Guide!Zone_d_impression</vt:lpstr>
      <vt:lpstr>'Membre 1'!Zone_d_impression</vt:lpstr>
      <vt:lpstr>'Membre 2'!Zone_d_impression</vt:lpstr>
      <vt:lpstr>'Membre 3'!Zone_d_impression</vt:lpstr>
      <vt:lpstr>'Membre 4'!Zone_d_impression</vt:lpstr>
      <vt:lpstr>'Membre 5'!Zone_d_impression</vt:lpstr>
      <vt:lpstr>'Modalités d''inscription'!Zone_d_impression</vt:lpstr>
      <vt:lpstr>Récapitulatif!Zone_d_impression</vt:lpstr>
    </vt:vector>
  </TitlesOfParts>
  <Manager/>
  <Company>SQLI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aauduteau</dc:creator>
  <cp:keywords/>
  <dc:description/>
  <cp:lastModifiedBy>Daniel Réchaussat</cp:lastModifiedBy>
  <cp:revision/>
  <cp:lastPrinted>2025-06-04T09:41:16Z</cp:lastPrinted>
  <dcterms:created xsi:type="dcterms:W3CDTF">2010-07-06T16:08:15Z</dcterms:created>
  <dcterms:modified xsi:type="dcterms:W3CDTF">2025-06-04T09:41:16Z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MediaServiceImageTags">
    <vt:lpwstr/>
  </property>
  <property fmtid="{D5CDD505-2E9C-101B-9397-08002B2CF9AE}" pid="5" name="ContentTypeId">
    <vt:lpwstr>0x010100911C7030127B7F43B975DB6E034274E5</vt:lpwstr>
  </property>
</Properties>
</file>